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90" windowWidth="11355" windowHeight="8700"/>
  </bookViews>
  <sheets>
    <sheet name="CPW 2015" sheetId="1" r:id="rId1"/>
    <sheet name="CTL budget" sheetId="2" state="hidden" r:id="rId2"/>
    <sheet name="QTL budget" sheetId="3" state="hidden" r:id="rId3"/>
    <sheet name="Contributions Table" sheetId="7" state="hidden" r:id="rId4"/>
    <sheet name="Standard Salary Costs" sheetId="8" state="hidden" r:id="rId5"/>
  </sheets>
  <definedNames>
    <definedName name="_xlnm.Print_Area" localSheetId="0">'CPW 2015'!$A$1:$J$170</definedName>
    <definedName name="_xlnm.Print_Area" localSheetId="1">'CTL budget'!$A$1:$N$144</definedName>
    <definedName name="_xlnm.Print_Titles" localSheetId="3">'Contributions Table'!$7:$8</definedName>
    <definedName name="_xlnm.Print_Titles" localSheetId="1">'CTL budget'!$5:$8</definedName>
    <definedName name="_xlnm.Print_Titles" localSheetId="2">'QTL budget'!$5:$6</definedName>
  </definedNames>
  <calcPr calcId="145621"/>
</workbook>
</file>

<file path=xl/calcChain.xml><?xml version="1.0" encoding="utf-8"?>
<calcChain xmlns="http://schemas.openxmlformats.org/spreadsheetml/2006/main">
  <c r="H157" i="1" l="1"/>
  <c r="L161" i="3"/>
  <c r="H15" i="1" l="1"/>
  <c r="H14" i="1"/>
  <c r="H61" i="1"/>
  <c r="L61" i="3"/>
  <c r="L110" i="3"/>
  <c r="L64" i="3"/>
  <c r="L59" i="3"/>
  <c r="L66" i="3"/>
  <c r="L105" i="3"/>
  <c r="J152" i="3"/>
  <c r="K152" i="3"/>
  <c r="L152" i="3"/>
  <c r="L53" i="3"/>
  <c r="L50" i="3"/>
  <c r="L136" i="2"/>
  <c r="E22" i="1"/>
  <c r="L133" i="2" l="1"/>
  <c r="L132" i="2"/>
  <c r="L131" i="2"/>
  <c r="L129" i="2"/>
  <c r="L127" i="2"/>
  <c r="L123" i="2"/>
  <c r="L114" i="2"/>
  <c r="L105" i="2"/>
  <c r="L100" i="2"/>
  <c r="L98" i="2"/>
  <c r="L94" i="2"/>
  <c r="L90" i="2"/>
  <c r="L85" i="2"/>
  <c r="L83" i="2"/>
  <c r="L77" i="2"/>
  <c r="L72" i="2"/>
  <c r="L61" i="2"/>
  <c r="L52" i="2"/>
  <c r="L57" i="2" s="1"/>
  <c r="L38" i="2"/>
  <c r="L63" i="2" s="1"/>
  <c r="L30" i="2"/>
  <c r="K160" i="3" l="1"/>
  <c r="K30" i="3"/>
  <c r="L30" i="3"/>
  <c r="J30" i="3"/>
  <c r="K16" i="3"/>
  <c r="L16" i="3"/>
  <c r="K38" i="3"/>
  <c r="L38" i="3"/>
  <c r="K53" i="3"/>
  <c r="K55" i="3"/>
  <c r="K105" i="3"/>
  <c r="K111" i="3"/>
  <c r="L111" i="3"/>
  <c r="K132" i="3"/>
  <c r="L132" i="3"/>
  <c r="K127" i="3"/>
  <c r="K126" i="3"/>
  <c r="L126" i="3"/>
  <c r="J126" i="3"/>
  <c r="K147" i="3"/>
  <c r="L147" i="3"/>
  <c r="J147" i="3"/>
  <c r="J157" i="3"/>
  <c r="K157" i="3"/>
  <c r="L157" i="3"/>
  <c r="K158" i="3"/>
  <c r="J158" i="3"/>
  <c r="J160" i="3" s="1"/>
  <c r="L127" i="3" l="1"/>
  <c r="L158" i="3"/>
  <c r="L55" i="3"/>
  <c r="K161" i="3"/>
  <c r="H78" i="1"/>
  <c r="G78" i="1"/>
  <c r="E147" i="3"/>
  <c r="D147" i="3"/>
  <c r="C147" i="3"/>
  <c r="H60" i="1"/>
  <c r="G60" i="1"/>
  <c r="E30" i="3"/>
  <c r="D30" i="3"/>
  <c r="C30" i="3"/>
  <c r="G15" i="1"/>
  <c r="G14" i="1"/>
  <c r="I60" i="1" l="1"/>
  <c r="L160" i="3"/>
  <c r="L162" i="3" s="1"/>
  <c r="K162" i="3"/>
  <c r="G147" i="1" l="1"/>
  <c r="H147" i="1"/>
  <c r="F147" i="1"/>
  <c r="H131" i="1"/>
  <c r="G131" i="1"/>
  <c r="F131" i="1"/>
  <c r="H130" i="1"/>
  <c r="G130" i="1"/>
  <c r="H113" i="1"/>
  <c r="G113" i="1"/>
  <c r="F113" i="1"/>
  <c r="H112" i="1"/>
  <c r="G112" i="1"/>
  <c r="F112" i="1"/>
  <c r="G111" i="1"/>
  <c r="H111" i="1"/>
  <c r="F111" i="1"/>
  <c r="G110" i="1"/>
  <c r="H110" i="1"/>
  <c r="F110" i="1"/>
  <c r="H109" i="1"/>
  <c r="G109" i="1"/>
  <c r="F109" i="1"/>
  <c r="G108" i="1"/>
  <c r="H108" i="1"/>
  <c r="F108" i="1"/>
  <c r="G107" i="1"/>
  <c r="H107" i="1"/>
  <c r="F107" i="1"/>
  <c r="H106" i="1"/>
  <c r="H105" i="1"/>
  <c r="G105" i="1"/>
  <c r="F105" i="1"/>
  <c r="H104" i="1"/>
  <c r="H103" i="1"/>
  <c r="G103" i="1"/>
  <c r="F103" i="1"/>
  <c r="H102" i="1"/>
  <c r="G102" i="1"/>
  <c r="F102" i="1"/>
  <c r="H87" i="1"/>
  <c r="G87" i="1"/>
  <c r="F87" i="1"/>
  <c r="H86" i="1"/>
  <c r="G86" i="1"/>
  <c r="F86" i="1"/>
  <c r="H85" i="1"/>
  <c r="G85" i="1"/>
  <c r="F85" i="1"/>
  <c r="H84" i="1"/>
  <c r="G84" i="1"/>
  <c r="F84" i="1"/>
  <c r="G83" i="1"/>
  <c r="H83" i="1"/>
  <c r="F83" i="1"/>
  <c r="H82" i="1"/>
  <c r="G82" i="1"/>
  <c r="F82" i="1"/>
  <c r="H81" i="1"/>
  <c r="H80" i="1"/>
  <c r="G80" i="1"/>
  <c r="F80" i="1"/>
  <c r="F78" i="1"/>
  <c r="H63" i="1"/>
  <c r="G63" i="1"/>
  <c r="F63" i="1"/>
  <c r="H62" i="1"/>
  <c r="G62" i="1"/>
  <c r="F62" i="1"/>
  <c r="G61" i="1"/>
  <c r="F61" i="1"/>
  <c r="F60" i="1"/>
  <c r="H59" i="1"/>
  <c r="G59" i="1"/>
  <c r="F59" i="1"/>
  <c r="H58" i="1"/>
  <c r="G58" i="1"/>
  <c r="F58" i="1"/>
  <c r="H57" i="1"/>
  <c r="G57" i="1"/>
  <c r="F57" i="1"/>
  <c r="H42" i="1"/>
  <c r="G42" i="1"/>
  <c r="F42" i="1"/>
  <c r="H41" i="1"/>
  <c r="G41" i="1"/>
  <c r="F41" i="1"/>
  <c r="H39" i="1"/>
  <c r="G39" i="1"/>
  <c r="F39" i="1"/>
  <c r="H38" i="1"/>
  <c r="G38" i="1"/>
  <c r="F38" i="1"/>
  <c r="H37" i="1"/>
  <c r="G37" i="1"/>
  <c r="F37" i="1"/>
  <c r="H35" i="1"/>
  <c r="G35" i="1"/>
  <c r="F35" i="1"/>
  <c r="H34" i="1"/>
  <c r="G34" i="1"/>
  <c r="G12" i="1"/>
  <c r="H12" i="1"/>
  <c r="F12" i="1"/>
  <c r="E150" i="1"/>
  <c r="D150" i="1"/>
  <c r="E149" i="1"/>
  <c r="D149" i="1"/>
  <c r="E148" i="1"/>
  <c r="D148" i="1"/>
  <c r="E147" i="1"/>
  <c r="D147" i="1"/>
  <c r="E146" i="1"/>
  <c r="D146" i="1"/>
  <c r="E134" i="1"/>
  <c r="D134" i="1"/>
  <c r="E130" i="1"/>
  <c r="D130" i="1"/>
  <c r="E116" i="1"/>
  <c r="D116" i="1"/>
  <c r="E110" i="1"/>
  <c r="D110" i="1"/>
  <c r="E106" i="1"/>
  <c r="D106" i="1"/>
  <c r="E104" i="1"/>
  <c r="D104" i="1"/>
  <c r="E102" i="1"/>
  <c r="D102" i="1"/>
  <c r="E90" i="1"/>
  <c r="D90" i="1"/>
  <c r="E78" i="1"/>
  <c r="D78" i="1"/>
  <c r="E66" i="1"/>
  <c r="D66" i="1"/>
  <c r="E57" i="1"/>
  <c r="D57" i="1"/>
  <c r="E45" i="1"/>
  <c r="D45" i="1"/>
  <c r="E34" i="1"/>
  <c r="D34" i="1"/>
  <c r="D22" i="1"/>
  <c r="E17" i="1"/>
  <c r="D17" i="1"/>
  <c r="E16" i="1"/>
  <c r="D16" i="1"/>
  <c r="E15" i="1"/>
  <c r="D15" i="1"/>
  <c r="E14" i="1"/>
  <c r="D14" i="1"/>
  <c r="E13" i="1"/>
  <c r="E12" i="1"/>
  <c r="D12" i="1"/>
  <c r="D13" i="1"/>
  <c r="H89" i="1" l="1"/>
  <c r="I59" i="1"/>
  <c r="H65" i="1"/>
  <c r="I35" i="1"/>
  <c r="I103" i="1"/>
  <c r="I131" i="1"/>
  <c r="I130" i="1" l="1"/>
  <c r="I133" i="1" s="1"/>
  <c r="I135" i="1" s="1"/>
  <c r="I115" i="1"/>
  <c r="I117" i="1" s="1"/>
  <c r="G152" i="1"/>
  <c r="G154" i="1" s="1"/>
  <c r="G133" i="1"/>
  <c r="G135" i="1" s="1"/>
  <c r="I65" i="1"/>
  <c r="I67" i="1" s="1"/>
  <c r="E66" i="3"/>
  <c r="E64" i="3"/>
  <c r="D64" i="3"/>
  <c r="E61" i="3"/>
  <c r="D61" i="3"/>
  <c r="E59" i="3"/>
  <c r="E79" i="3"/>
  <c r="D79" i="3"/>
  <c r="G104" i="3"/>
  <c r="G152" i="3"/>
  <c r="G147" i="3"/>
  <c r="G126" i="3"/>
  <c r="G111" i="3"/>
  <c r="G53" i="3"/>
  <c r="G38" i="3"/>
  <c r="G30" i="3"/>
  <c r="G16" i="3"/>
  <c r="G103" i="3"/>
  <c r="G72" i="3"/>
  <c r="D157" i="3"/>
  <c r="E157" i="3"/>
  <c r="C157" i="3"/>
  <c r="D152" i="3"/>
  <c r="E152" i="3"/>
  <c r="D132" i="3"/>
  <c r="E132" i="3"/>
  <c r="D111" i="3"/>
  <c r="E111" i="3"/>
  <c r="E126" i="3"/>
  <c r="D126" i="3"/>
  <c r="C105" i="3"/>
  <c r="H133" i="1"/>
  <c r="H135" i="1" s="1"/>
  <c r="I15" i="1"/>
  <c r="G155" i="3"/>
  <c r="H44" i="1" l="1"/>
  <c r="H91" i="1"/>
  <c r="I14" i="1"/>
  <c r="I21" i="1" s="1"/>
  <c r="I23" i="1" s="1"/>
  <c r="I78" i="1"/>
  <c r="I89" i="1" s="1"/>
  <c r="I91" i="1" s="1"/>
  <c r="H67" i="1"/>
  <c r="H21" i="1"/>
  <c r="H23" i="1" s="1"/>
  <c r="H115" i="1"/>
  <c r="H117" i="1" s="1"/>
  <c r="G105" i="3"/>
  <c r="G157" i="3"/>
  <c r="G115" i="1"/>
  <c r="G117" i="1" s="1"/>
  <c r="G89" i="1"/>
  <c r="G91" i="1" s="1"/>
  <c r="G65" i="1"/>
  <c r="G67" i="1" s="1"/>
  <c r="E105" i="3"/>
  <c r="D105" i="3"/>
  <c r="G55" i="3"/>
  <c r="G158" i="3"/>
  <c r="G127" i="3"/>
  <c r="D158" i="3"/>
  <c r="E158" i="3"/>
  <c r="E127" i="3"/>
  <c r="D127" i="3"/>
  <c r="G21" i="1"/>
  <c r="G23" i="1" s="1"/>
  <c r="I148" i="1"/>
  <c r="I149" i="1"/>
  <c r="I150" i="1"/>
  <c r="I146" i="1"/>
  <c r="C53" i="3"/>
  <c r="D50" i="3"/>
  <c r="D53" i="3" s="1"/>
  <c r="D38" i="3"/>
  <c r="D16" i="3"/>
  <c r="C152" i="3"/>
  <c r="C158" i="3" s="1"/>
  <c r="E53" i="3"/>
  <c r="E38" i="3"/>
  <c r="E16" i="3"/>
  <c r="I44" i="1" l="1"/>
  <c r="I46" i="1" s="1"/>
  <c r="G44" i="1"/>
  <c r="G46" i="1" s="1"/>
  <c r="G156" i="1" s="1"/>
  <c r="G160" i="3"/>
  <c r="G161" i="3" s="1"/>
  <c r="G162" i="3" s="1"/>
  <c r="D55" i="3"/>
  <c r="D160" i="3" s="1"/>
  <c r="H46" i="1"/>
  <c r="I147" i="1"/>
  <c r="I152" i="1" s="1"/>
  <c r="I154" i="1" s="1"/>
  <c r="H152" i="1"/>
  <c r="H154" i="1" s="1"/>
  <c r="E55" i="3"/>
  <c r="H31" i="2"/>
  <c r="I112" i="2"/>
  <c r="E133" i="1"/>
  <c r="E89" i="1"/>
  <c r="E65" i="1"/>
  <c r="E44" i="1"/>
  <c r="I156" i="1" l="1"/>
  <c r="I157" i="1" s="1"/>
  <c r="H156" i="1"/>
  <c r="E91" i="1"/>
  <c r="E135" i="1"/>
  <c r="E115" i="1"/>
  <c r="E117" i="1" s="1"/>
  <c r="E152" i="1"/>
  <c r="E154" i="1" s="1"/>
  <c r="E21" i="1"/>
  <c r="E23" i="1" s="1"/>
  <c r="E67" i="1"/>
  <c r="G158" i="1"/>
  <c r="D161" i="3"/>
  <c r="D162" i="3" s="1"/>
  <c r="E160" i="3"/>
  <c r="E161" i="3" s="1"/>
  <c r="E162" i="3" s="1"/>
  <c r="E46" i="1"/>
  <c r="I127" i="2"/>
  <c r="I123" i="2"/>
  <c r="I114" i="2"/>
  <c r="I105" i="2"/>
  <c r="I98" i="2"/>
  <c r="I94" i="2"/>
  <c r="I90" i="2"/>
  <c r="I83" i="2"/>
  <c r="I77" i="2"/>
  <c r="I85" i="2" s="1"/>
  <c r="I72" i="2"/>
  <c r="I61" i="2"/>
  <c r="H57" i="2"/>
  <c r="I52" i="2"/>
  <c r="I57" i="2" s="1"/>
  <c r="I38" i="2"/>
  <c r="I30" i="2"/>
  <c r="H158" i="1" l="1"/>
  <c r="I158" i="1"/>
  <c r="I31" i="2"/>
  <c r="E156" i="1"/>
  <c r="E157" i="1" s="1"/>
  <c r="E158" i="1" s="1"/>
  <c r="I129" i="2"/>
  <c r="I63" i="2"/>
  <c r="I100" i="2"/>
  <c r="O52" i="2"/>
  <c r="O30" i="2"/>
  <c r="T48" i="2"/>
  <c r="T47" i="2"/>
  <c r="T46" i="2"/>
  <c r="T43" i="2"/>
  <c r="T42" i="2"/>
  <c r="S48" i="2"/>
  <c r="S47" i="2"/>
  <c r="S46" i="2"/>
  <c r="S43" i="2"/>
  <c r="S42" i="2"/>
  <c r="R48" i="2"/>
  <c r="R47" i="2"/>
  <c r="R46" i="2"/>
  <c r="R43" i="2"/>
  <c r="R42" i="2"/>
  <c r="T41" i="2"/>
  <c r="S41" i="2"/>
  <c r="R41" i="2"/>
  <c r="T29" i="2"/>
  <c r="S29" i="2"/>
  <c r="R29" i="2"/>
  <c r="T27" i="2"/>
  <c r="S27" i="2"/>
  <c r="R27" i="2"/>
  <c r="T26" i="2"/>
  <c r="S26" i="2"/>
  <c r="R26" i="2"/>
  <c r="T25" i="2"/>
  <c r="S25" i="2"/>
  <c r="R25" i="2"/>
  <c r="T22" i="2"/>
  <c r="S22" i="2"/>
  <c r="R22" i="2"/>
  <c r="T19" i="2"/>
  <c r="S19" i="2"/>
  <c r="R19" i="2"/>
  <c r="T18" i="2"/>
  <c r="S18" i="2"/>
  <c r="R18" i="2"/>
  <c r="T17" i="2"/>
  <c r="S17" i="2"/>
  <c r="R17" i="2"/>
  <c r="T16" i="2"/>
  <c r="S16" i="2"/>
  <c r="R16" i="2"/>
  <c r="T15" i="2"/>
  <c r="S15" i="2"/>
  <c r="R15" i="2"/>
  <c r="T14" i="2"/>
  <c r="S14" i="2"/>
  <c r="R14" i="2"/>
  <c r="T13" i="2"/>
  <c r="S13" i="2"/>
  <c r="R13" i="2"/>
  <c r="T11" i="2"/>
  <c r="S11" i="2"/>
  <c r="R11" i="2"/>
  <c r="H11" i="8"/>
  <c r="K12" i="8"/>
  <c r="K13" i="8"/>
  <c r="K14" i="8"/>
  <c r="K15" i="8"/>
  <c r="K16" i="8"/>
  <c r="K18" i="8"/>
  <c r="J12" i="8"/>
  <c r="J13" i="8"/>
  <c r="J14" i="8"/>
  <c r="J15" i="8"/>
  <c r="J16" i="8"/>
  <c r="J18" i="8"/>
  <c r="I12" i="8"/>
  <c r="I13" i="8"/>
  <c r="I14" i="8"/>
  <c r="I15" i="8"/>
  <c r="I16" i="8"/>
  <c r="I18" i="8"/>
  <c r="I11" i="8"/>
  <c r="J11" i="8" s="1"/>
  <c r="K11" i="8" s="1"/>
  <c r="H18" i="8"/>
  <c r="H16" i="8"/>
  <c r="H15" i="8"/>
  <c r="H14" i="8"/>
  <c r="H13" i="8"/>
  <c r="H12" i="8"/>
  <c r="E18" i="8"/>
  <c r="F18" i="8" s="1"/>
  <c r="D18" i="8"/>
  <c r="C18" i="8"/>
  <c r="E16" i="8"/>
  <c r="F16" i="8" s="1"/>
  <c r="D16" i="8"/>
  <c r="C16" i="8"/>
  <c r="E15" i="8"/>
  <c r="F15" i="8" s="1"/>
  <c r="D15" i="8"/>
  <c r="C15" i="8"/>
  <c r="E14" i="8"/>
  <c r="F14" i="8" s="1"/>
  <c r="D14" i="8"/>
  <c r="C14" i="8"/>
  <c r="E13" i="8"/>
  <c r="F13" i="8" s="1"/>
  <c r="D13" i="8"/>
  <c r="C13" i="8"/>
  <c r="E12" i="8"/>
  <c r="F12" i="8" s="1"/>
  <c r="D12" i="8"/>
  <c r="C12" i="8"/>
  <c r="F11" i="8"/>
  <c r="E11" i="8"/>
  <c r="D11" i="8"/>
  <c r="O54" i="2" l="1"/>
  <c r="I131" i="2"/>
  <c r="I132" i="2" s="1"/>
  <c r="I133" i="2" s="1"/>
  <c r="S52" i="2"/>
  <c r="S30" i="2"/>
  <c r="T30" i="2"/>
  <c r="T52" i="2"/>
  <c r="R52" i="2"/>
  <c r="R30" i="2"/>
  <c r="E185" i="7"/>
  <c r="U52" i="2" l="1"/>
  <c r="V52" i="2" s="1"/>
  <c r="U30" i="2"/>
  <c r="V30" i="2" s="1"/>
  <c r="D188" i="7"/>
  <c r="E97" i="7" s="1"/>
  <c r="E188" i="7" s="1"/>
  <c r="H38" i="2"/>
  <c r="H61" i="2"/>
  <c r="H72" i="2"/>
  <c r="H77" i="2"/>
  <c r="H83" i="2"/>
  <c r="H90" i="2"/>
  <c r="H94" i="2"/>
  <c r="H98" i="2"/>
  <c r="H105" i="2"/>
  <c r="H114" i="2"/>
  <c r="H123" i="2"/>
  <c r="H127" i="2"/>
  <c r="K57" i="2"/>
  <c r="K38" i="2"/>
  <c r="K61" i="2"/>
  <c r="K72" i="2"/>
  <c r="K77" i="2"/>
  <c r="K83" i="2"/>
  <c r="K90" i="2"/>
  <c r="K94" i="2"/>
  <c r="K98" i="2"/>
  <c r="K105" i="2"/>
  <c r="K114" i="2"/>
  <c r="K123" i="2"/>
  <c r="K127" i="2"/>
  <c r="N57" i="2"/>
  <c r="N38" i="2"/>
  <c r="N61" i="2"/>
  <c r="N72" i="2"/>
  <c r="N77" i="2"/>
  <c r="N83" i="2"/>
  <c r="N90" i="2"/>
  <c r="N94" i="2"/>
  <c r="N98" i="2"/>
  <c r="N105" i="2"/>
  <c r="N114" i="2"/>
  <c r="N123" i="2"/>
  <c r="N127" i="2"/>
  <c r="D133" i="1"/>
  <c r="D135" i="1" s="1"/>
  <c r="D89" i="1"/>
  <c r="D91" i="1" s="1"/>
  <c r="D65" i="1"/>
  <c r="D67" i="1" s="1"/>
  <c r="D44" i="1"/>
  <c r="D46" i="1" s="1"/>
  <c r="E9" i="7"/>
  <c r="E10" i="7"/>
  <c r="E11" i="7"/>
  <c r="E12" i="7"/>
  <c r="E13" i="7"/>
  <c r="E14" i="7"/>
  <c r="E15" i="7"/>
  <c r="E16" i="7"/>
  <c r="E17" i="7"/>
  <c r="E18" i="7"/>
  <c r="E19" i="7"/>
  <c r="E20" i="7"/>
  <c r="E21" i="7"/>
  <c r="E22" i="7"/>
  <c r="E23" i="7"/>
  <c r="E24" i="7"/>
  <c r="E25" i="7"/>
  <c r="E26" i="7"/>
  <c r="E27" i="7"/>
  <c r="E28" i="7"/>
  <c r="E29" i="7"/>
  <c r="E30" i="7"/>
  <c r="E31" i="7"/>
  <c r="E32" i="7"/>
  <c r="E33" i="7"/>
  <c r="E34" i="7"/>
  <c r="E35" i="7"/>
  <c r="E36" i="7"/>
  <c r="E37" i="7"/>
  <c r="E38" i="7"/>
  <c r="E39" i="7"/>
  <c r="E40" i="7"/>
  <c r="E41" i="7"/>
  <c r="E42" i="7"/>
  <c r="E43" i="7"/>
  <c r="E44" i="7"/>
  <c r="E45" i="7"/>
  <c r="E46" i="7"/>
  <c r="E47" i="7"/>
  <c r="E48" i="7"/>
  <c r="E49" i="7"/>
  <c r="E50" i="7"/>
  <c r="E51" i="7"/>
  <c r="E52" i="7"/>
  <c r="E53" i="7"/>
  <c r="E54" i="7"/>
  <c r="E55" i="7"/>
  <c r="E56" i="7"/>
  <c r="E57" i="7"/>
  <c r="E58" i="7"/>
  <c r="E59" i="7"/>
  <c r="E60" i="7"/>
  <c r="E61" i="7"/>
  <c r="E62" i="7"/>
  <c r="E63" i="7"/>
  <c r="E65" i="7"/>
  <c r="E66" i="7"/>
  <c r="E67" i="7"/>
  <c r="E68" i="7"/>
  <c r="E69" i="7"/>
  <c r="E70" i="7"/>
  <c r="E71" i="7"/>
  <c r="E72" i="7"/>
  <c r="E73" i="7"/>
  <c r="E74" i="7"/>
  <c r="E75" i="7"/>
  <c r="E76" i="7"/>
  <c r="E77" i="7"/>
  <c r="E78" i="7"/>
  <c r="E79" i="7"/>
  <c r="E80" i="7"/>
  <c r="E81" i="7"/>
  <c r="E82" i="7"/>
  <c r="E83" i="7"/>
  <c r="E84" i="7"/>
  <c r="E85" i="7"/>
  <c r="E86" i="7"/>
  <c r="E87" i="7"/>
  <c r="E88" i="7"/>
  <c r="E89" i="7"/>
  <c r="E90" i="7"/>
  <c r="E91" i="7"/>
  <c r="E92" i="7"/>
  <c r="E93" i="7"/>
  <c r="E94" i="7"/>
  <c r="E95" i="7"/>
  <c r="E96" i="7"/>
  <c r="E98" i="7"/>
  <c r="E99" i="7"/>
  <c r="E100" i="7"/>
  <c r="E101" i="7"/>
  <c r="E102" i="7"/>
  <c r="E103" i="7"/>
  <c r="E104" i="7"/>
  <c r="E105" i="7"/>
  <c r="E106" i="7"/>
  <c r="E107" i="7"/>
  <c r="E108" i="7"/>
  <c r="E109" i="7"/>
  <c r="E110" i="7"/>
  <c r="E111" i="7"/>
  <c r="E112" i="7"/>
  <c r="E113" i="7"/>
  <c r="E114" i="7"/>
  <c r="E115" i="7"/>
  <c r="E116" i="7"/>
  <c r="E117" i="7"/>
  <c r="E118" i="7"/>
  <c r="E119" i="7"/>
  <c r="E120" i="7"/>
  <c r="E121" i="7"/>
  <c r="E122" i="7"/>
  <c r="E123" i="7"/>
  <c r="E124" i="7"/>
  <c r="E125" i="7"/>
  <c r="E126" i="7"/>
  <c r="E127" i="7"/>
  <c r="E128" i="7"/>
  <c r="E129" i="7"/>
  <c r="E130" i="7"/>
  <c r="E131" i="7"/>
  <c r="E132" i="7"/>
  <c r="E133" i="7"/>
  <c r="E134" i="7"/>
  <c r="E135" i="7"/>
  <c r="E136" i="7"/>
  <c r="E137" i="7"/>
  <c r="E138" i="7"/>
  <c r="E139" i="7"/>
  <c r="E140" i="7"/>
  <c r="E141" i="7"/>
  <c r="E142" i="7"/>
  <c r="E143" i="7"/>
  <c r="E144" i="7"/>
  <c r="E145" i="7"/>
  <c r="E146" i="7"/>
  <c r="E147" i="7"/>
  <c r="E148" i="7"/>
  <c r="E149" i="7"/>
  <c r="E150" i="7"/>
  <c r="E151" i="7"/>
  <c r="E152" i="7"/>
  <c r="E153" i="7"/>
  <c r="E154" i="7"/>
  <c r="E155" i="7"/>
  <c r="E156" i="7"/>
  <c r="E157" i="7"/>
  <c r="E158" i="7"/>
  <c r="E159" i="7"/>
  <c r="E160" i="7"/>
  <c r="E161" i="7"/>
  <c r="E162" i="7"/>
  <c r="E163" i="7"/>
  <c r="E164" i="7"/>
  <c r="E165" i="7"/>
  <c r="E166" i="7"/>
  <c r="E167" i="7"/>
  <c r="E168" i="7"/>
  <c r="E169" i="7"/>
  <c r="E170" i="7"/>
  <c r="E171" i="7"/>
  <c r="E172" i="7"/>
  <c r="E173" i="7"/>
  <c r="E174" i="7"/>
  <c r="E175" i="7"/>
  <c r="E176" i="7"/>
  <c r="E177" i="7"/>
  <c r="E178" i="7"/>
  <c r="E180" i="7"/>
  <c r="E181" i="7"/>
  <c r="E182" i="7"/>
  <c r="E183" i="7"/>
  <c r="E184" i="7"/>
  <c r="E186" i="7"/>
  <c r="E187" i="7"/>
  <c r="H188" i="7"/>
  <c r="F133" i="1"/>
  <c r="F135" i="1" s="1"/>
  <c r="O105" i="3"/>
  <c r="J105" i="3"/>
  <c r="O111" i="3"/>
  <c r="J111" i="3"/>
  <c r="C111" i="3"/>
  <c r="F61" i="2"/>
  <c r="E61" i="2"/>
  <c r="O126" i="3"/>
  <c r="C126" i="3"/>
  <c r="O53" i="3"/>
  <c r="J53" i="3"/>
  <c r="F57" i="2"/>
  <c r="E57" i="2"/>
  <c r="E38" i="2"/>
  <c r="F38" i="2"/>
  <c r="E105" i="2"/>
  <c r="E114" i="2"/>
  <c r="E123" i="2"/>
  <c r="E77" i="2"/>
  <c r="E83" i="2"/>
  <c r="F90" i="2"/>
  <c r="F94" i="2"/>
  <c r="F98" i="2"/>
  <c r="E90" i="2"/>
  <c r="E94" i="2"/>
  <c r="E72" i="2"/>
  <c r="F72" i="2"/>
  <c r="F77" i="2"/>
  <c r="F83" i="2"/>
  <c r="F105" i="2"/>
  <c r="F114" i="2"/>
  <c r="F123" i="2"/>
  <c r="F127" i="2"/>
  <c r="O30" i="3"/>
  <c r="O16" i="3"/>
  <c r="O38" i="3"/>
  <c r="O132" i="3"/>
  <c r="O147" i="3"/>
  <c r="J16" i="3"/>
  <c r="J38" i="3"/>
  <c r="J132" i="3"/>
  <c r="C16" i="3"/>
  <c r="C38" i="3"/>
  <c r="C132" i="3"/>
  <c r="F21" i="1"/>
  <c r="F23" i="1" s="1"/>
  <c r="U54" i="2" l="1"/>
  <c r="V54" i="2" s="1"/>
  <c r="C127" i="3"/>
  <c r="C55" i="3"/>
  <c r="J55" i="3"/>
  <c r="J127" i="3"/>
  <c r="O127" i="3"/>
  <c r="F115" i="1"/>
  <c r="F117" i="1" s="1"/>
  <c r="F89" i="1"/>
  <c r="F85" i="2"/>
  <c r="E100" i="2"/>
  <c r="N63" i="2"/>
  <c r="H85" i="2"/>
  <c r="F129" i="2"/>
  <c r="E129" i="2"/>
  <c r="E63" i="2"/>
  <c r="N100" i="2"/>
  <c r="K100" i="2"/>
  <c r="H100" i="2"/>
  <c r="H63" i="2"/>
  <c r="D152" i="1"/>
  <c r="D154" i="1" s="1"/>
  <c r="D21" i="1"/>
  <c r="D115" i="1"/>
  <c r="D117" i="1" s="1"/>
  <c r="N85" i="2"/>
  <c r="K85" i="2"/>
  <c r="O55" i="3"/>
  <c r="F100" i="2"/>
  <c r="F44" i="1"/>
  <c r="F46" i="1" s="1"/>
  <c r="F65" i="1"/>
  <c r="F67" i="1" s="1"/>
  <c r="N129" i="2"/>
  <c r="E85" i="2"/>
  <c r="F63" i="2"/>
  <c r="K129" i="2"/>
  <c r="K63" i="2"/>
  <c r="H129" i="2"/>
  <c r="F152" i="1"/>
  <c r="C160" i="3" l="1"/>
  <c r="C161" i="3" s="1"/>
  <c r="C162" i="3" s="1"/>
  <c r="J161" i="3"/>
  <c r="J162" i="3" s="1"/>
  <c r="O160" i="3"/>
  <c r="O161" i="3" s="1"/>
  <c r="O162" i="3" s="1"/>
  <c r="F91" i="1"/>
  <c r="E131" i="2"/>
  <c r="E132" i="2" s="1"/>
  <c r="E133" i="2" s="1"/>
  <c r="E135" i="2" s="1"/>
  <c r="H131" i="2"/>
  <c r="H132" i="2" s="1"/>
  <c r="H133" i="2" s="1"/>
  <c r="I136" i="2" s="1"/>
  <c r="K131" i="2"/>
  <c r="K132" i="2" s="1"/>
  <c r="K133" i="2" s="1"/>
  <c r="F131" i="2"/>
  <c r="F132" i="2" s="1"/>
  <c r="F133" i="2" s="1"/>
  <c r="N131" i="2"/>
  <c r="N132" i="2" s="1"/>
  <c r="N133" i="2" s="1"/>
  <c r="D194" i="7" s="1"/>
  <c r="D23" i="1"/>
  <c r="F154" i="1"/>
  <c r="D192" i="7" l="1"/>
  <c r="F156" i="1"/>
  <c r="F157" i="1" s="1"/>
  <c r="F158" i="1" s="1"/>
  <c r="F134" i="2"/>
  <c r="F135" i="2" s="1"/>
  <c r="K141" i="2" s="1"/>
  <c r="D156" i="1"/>
  <c r="D157" i="1" s="1"/>
  <c r="D158" i="1" s="1"/>
  <c r="D193" i="7"/>
  <c r="N134" i="2"/>
  <c r="D195" i="7" l="1"/>
  <c r="F11" i="7" s="1"/>
  <c r="G11" i="7" s="1"/>
  <c r="I11" i="7" s="1"/>
  <c r="F193" i="7"/>
  <c r="G193" i="7" s="1"/>
  <c r="M64" i="7"/>
  <c r="N135" i="2"/>
  <c r="K142" i="2"/>
  <c r="K143" i="2" s="1"/>
  <c r="K144" i="2" s="1"/>
  <c r="F164" i="7" l="1"/>
  <c r="G164" i="7" s="1"/>
  <c r="I164" i="7" s="1"/>
  <c r="F162" i="7"/>
  <c r="G162" i="7" s="1"/>
  <c r="I162" i="7" s="1"/>
  <c r="F30" i="7"/>
  <c r="G30" i="7" s="1"/>
  <c r="I30" i="7" s="1"/>
  <c r="F110" i="7"/>
  <c r="G110" i="7" s="1"/>
  <c r="I110" i="7" s="1"/>
  <c r="F17" i="7"/>
  <c r="G17" i="7" s="1"/>
  <c r="I17" i="7" s="1"/>
  <c r="F151" i="7"/>
  <c r="G151" i="7" s="1"/>
  <c r="I151" i="7" s="1"/>
  <c r="F81" i="7"/>
  <c r="G81" i="7" s="1"/>
  <c r="I81" i="7" s="1"/>
  <c r="F154" i="7"/>
  <c r="G154" i="7" s="1"/>
  <c r="I154" i="7" s="1"/>
  <c r="F185" i="7"/>
  <c r="G185" i="7" s="1"/>
  <c r="I185" i="7" s="1"/>
  <c r="F74" i="7"/>
  <c r="G74" i="7" s="1"/>
  <c r="I74" i="7" s="1"/>
  <c r="F20" i="7"/>
  <c r="G20" i="7" s="1"/>
  <c r="I20" i="7" s="1"/>
  <c r="F104" i="7"/>
  <c r="G104" i="7" s="1"/>
  <c r="I104" i="7" s="1"/>
  <c r="F86" i="7"/>
  <c r="G86" i="7" s="1"/>
  <c r="I86" i="7" s="1"/>
  <c r="F50" i="7"/>
  <c r="G50" i="7" s="1"/>
  <c r="I50" i="7" s="1"/>
  <c r="F183" i="7"/>
  <c r="G183" i="7" s="1"/>
  <c r="I183" i="7" s="1"/>
  <c r="F92" i="7"/>
  <c r="G92" i="7" s="1"/>
  <c r="I92" i="7" s="1"/>
  <c r="F27" i="7"/>
  <c r="G27" i="7" s="1"/>
  <c r="I27" i="7" s="1"/>
  <c r="F78" i="7"/>
  <c r="G78" i="7" s="1"/>
  <c r="I78" i="7" s="1"/>
  <c r="F144" i="7"/>
  <c r="G144" i="7" s="1"/>
  <c r="I144" i="7" s="1"/>
  <c r="F124" i="7"/>
  <c r="G124" i="7" s="1"/>
  <c r="I124" i="7" s="1"/>
  <c r="F169" i="7"/>
  <c r="G169" i="7" s="1"/>
  <c r="I169" i="7" s="1"/>
  <c r="F76" i="7"/>
  <c r="G76" i="7" s="1"/>
  <c r="I76" i="7" s="1"/>
  <c r="F126" i="7"/>
  <c r="G126" i="7" s="1"/>
  <c r="I126" i="7" s="1"/>
  <c r="F167" i="7"/>
  <c r="G167" i="7" s="1"/>
  <c r="I167" i="7" s="1"/>
  <c r="F107" i="7"/>
  <c r="G107" i="7" s="1"/>
  <c r="I107" i="7" s="1"/>
  <c r="F21" i="7"/>
  <c r="G21" i="7" s="1"/>
  <c r="I21" i="7" s="1"/>
  <c r="F127" i="7"/>
  <c r="G127" i="7" s="1"/>
  <c r="I127" i="7" s="1"/>
  <c r="F42" i="7"/>
  <c r="G42" i="7" s="1"/>
  <c r="I42" i="7" s="1"/>
  <c r="F165" i="7"/>
  <c r="G165" i="7" s="1"/>
  <c r="I165" i="7" s="1"/>
  <c r="F181" i="7"/>
  <c r="G181" i="7" s="1"/>
  <c r="I181" i="7" s="1"/>
  <c r="F130" i="7"/>
  <c r="G130" i="7" s="1"/>
  <c r="I130" i="7" s="1"/>
  <c r="F72" i="7"/>
  <c r="G72" i="7" s="1"/>
  <c r="I72" i="7" s="1"/>
  <c r="F134" i="7"/>
  <c r="G134" i="7" s="1"/>
  <c r="I134" i="7" s="1"/>
  <c r="F177" i="7"/>
  <c r="G177" i="7" s="1"/>
  <c r="I177" i="7" s="1"/>
  <c r="F35" i="7"/>
  <c r="G35" i="7" s="1"/>
  <c r="I35" i="7" s="1"/>
  <c r="F58" i="7"/>
  <c r="G58" i="7" s="1"/>
  <c r="I58" i="7" s="1"/>
  <c r="F166" i="7"/>
  <c r="G166" i="7" s="1"/>
  <c r="I166" i="7" s="1"/>
  <c r="F150" i="7"/>
  <c r="G150" i="7" s="1"/>
  <c r="I150" i="7" s="1"/>
  <c r="F66" i="7"/>
  <c r="G66" i="7" s="1"/>
  <c r="I66" i="7" s="1"/>
  <c r="F38" i="7"/>
  <c r="G38" i="7" s="1"/>
  <c r="I38" i="7" s="1"/>
  <c r="F149" i="7"/>
  <c r="G149" i="7" s="1"/>
  <c r="I149" i="7" s="1"/>
  <c r="F61" i="7"/>
  <c r="G61" i="7" s="1"/>
  <c r="I61" i="7" s="1"/>
  <c r="F122" i="7"/>
  <c r="G122" i="7" s="1"/>
  <c r="I122" i="7" s="1"/>
  <c r="F39" i="7"/>
  <c r="G39" i="7" s="1"/>
  <c r="I39" i="7" s="1"/>
  <c r="F146" i="7"/>
  <c r="G146" i="7" s="1"/>
  <c r="I146" i="7" s="1"/>
  <c r="F161" i="7"/>
  <c r="G161" i="7" s="1"/>
  <c r="I161" i="7" s="1"/>
  <c r="F64" i="7"/>
  <c r="G64" i="7" s="1"/>
  <c r="F36" i="7"/>
  <c r="G36" i="7" s="1"/>
  <c r="I36" i="7" s="1"/>
  <c r="F102" i="7"/>
  <c r="G102" i="7" s="1"/>
  <c r="I102" i="7" s="1"/>
  <c r="F16" i="7"/>
  <c r="G16" i="7" s="1"/>
  <c r="I16" i="7" s="1"/>
  <c r="F89" i="7"/>
  <c r="G89" i="7" s="1"/>
  <c r="I89" i="7" s="1"/>
  <c r="F51" i="7"/>
  <c r="G51" i="7" s="1"/>
  <c r="I51" i="7" s="1"/>
  <c r="F129" i="7"/>
  <c r="G129" i="7" s="1"/>
  <c r="I129" i="7" s="1"/>
  <c r="F15" i="7"/>
  <c r="G15" i="7" s="1"/>
  <c r="I15" i="7" s="1"/>
  <c r="F170" i="7"/>
  <c r="G170" i="7" s="1"/>
  <c r="I170" i="7" s="1"/>
  <c r="F115" i="7"/>
  <c r="G115" i="7" s="1"/>
  <c r="I115" i="7" s="1"/>
  <c r="F108" i="7"/>
  <c r="G108" i="7" s="1"/>
  <c r="F40" i="7"/>
  <c r="G40" i="7" s="1"/>
  <c r="I40" i="7" s="1"/>
  <c r="F114" i="7"/>
  <c r="G114" i="7" s="1"/>
  <c r="I114" i="7" s="1"/>
  <c r="F109" i="7"/>
  <c r="G109" i="7" s="1"/>
  <c r="I109" i="7" s="1"/>
  <c r="F173" i="7"/>
  <c r="G173" i="7" s="1"/>
  <c r="I173" i="7" s="1"/>
  <c r="F116" i="7"/>
  <c r="G116" i="7" s="1"/>
  <c r="I116" i="7" s="1"/>
  <c r="F29" i="7"/>
  <c r="G29" i="7" s="1"/>
  <c r="I29" i="7" s="1"/>
  <c r="F33" i="7"/>
  <c r="G33" i="7" s="1"/>
  <c r="I33" i="7" s="1"/>
  <c r="F65" i="7"/>
  <c r="G65" i="7" s="1"/>
  <c r="I65" i="7" s="1"/>
  <c r="F68" i="7"/>
  <c r="G68" i="7" s="1"/>
  <c r="I68" i="7" s="1"/>
  <c r="F137" i="7"/>
  <c r="G137" i="7" s="1"/>
  <c r="I137" i="7" s="1"/>
  <c r="F31" i="7"/>
  <c r="G31" i="7" s="1"/>
  <c r="I31" i="7" s="1"/>
  <c r="F175" i="7"/>
  <c r="G175" i="7" s="1"/>
  <c r="I175" i="7" s="1"/>
  <c r="F22" i="7"/>
  <c r="G22" i="7" s="1"/>
  <c r="I22" i="7" s="1"/>
  <c r="F44" i="7"/>
  <c r="G44" i="7" s="1"/>
  <c r="I44" i="7" s="1"/>
  <c r="F19" i="7"/>
  <c r="G19" i="7" s="1"/>
  <c r="F117" i="7"/>
  <c r="G117" i="7" s="1"/>
  <c r="I117" i="7" s="1"/>
  <c r="F179" i="7"/>
  <c r="G179" i="7" s="1"/>
  <c r="I179" i="7" s="1"/>
  <c r="F160" i="7"/>
  <c r="G160" i="7" s="1"/>
  <c r="I160" i="7" s="1"/>
  <c r="F182" i="7"/>
  <c r="G182" i="7" s="1"/>
  <c r="I182" i="7" s="1"/>
  <c r="F13" i="7"/>
  <c r="G13" i="7" s="1"/>
  <c r="I13" i="7" s="1"/>
  <c r="F158" i="7"/>
  <c r="G158" i="7" s="1"/>
  <c r="I158" i="7" s="1"/>
  <c r="F99" i="7"/>
  <c r="G99" i="7" s="1"/>
  <c r="I99" i="7" s="1"/>
  <c r="F103" i="7"/>
  <c r="G103" i="7" s="1"/>
  <c r="I103" i="7" s="1"/>
  <c r="F71" i="7"/>
  <c r="G71" i="7" s="1"/>
  <c r="I71" i="7" s="1"/>
  <c r="F14" i="7"/>
  <c r="G14" i="7" s="1"/>
  <c r="I14" i="7" s="1"/>
  <c r="F37" i="7"/>
  <c r="G37" i="7" s="1"/>
  <c r="I37" i="7" s="1"/>
  <c r="F120" i="7"/>
  <c r="G120" i="7" s="1"/>
  <c r="I120" i="7" s="1"/>
  <c r="F155" i="7"/>
  <c r="G155" i="7" s="1"/>
  <c r="I155" i="7" s="1"/>
  <c r="F143" i="7"/>
  <c r="G143" i="7" s="1"/>
  <c r="I143" i="7" s="1"/>
  <c r="F132" i="7"/>
  <c r="G132" i="7" s="1"/>
  <c r="I132" i="7" s="1"/>
  <c r="F82" i="7"/>
  <c r="G82" i="7" s="1"/>
  <c r="I82" i="7" s="1"/>
  <c r="F171" i="7"/>
  <c r="G171" i="7" s="1"/>
  <c r="I171" i="7" s="1"/>
  <c r="F159" i="7"/>
  <c r="G159" i="7" s="1"/>
  <c r="I159" i="7" s="1"/>
  <c r="F54" i="7"/>
  <c r="G54" i="7" s="1"/>
  <c r="I54" i="7" s="1"/>
  <c r="F62" i="7"/>
  <c r="G62" i="7" s="1"/>
  <c r="I62" i="7" s="1"/>
  <c r="F52" i="7"/>
  <c r="G52" i="7" s="1"/>
  <c r="I52" i="7" s="1"/>
  <c r="F118" i="7"/>
  <c r="G118" i="7" s="1"/>
  <c r="I118" i="7" s="1"/>
  <c r="F24" i="7"/>
  <c r="G24" i="7" s="1"/>
  <c r="I24" i="7" s="1"/>
  <c r="F98" i="7"/>
  <c r="G98" i="7" s="1"/>
  <c r="I98" i="7" s="1"/>
  <c r="F80" i="7"/>
  <c r="G80" i="7" s="1"/>
  <c r="I80" i="7" s="1"/>
  <c r="F145" i="7"/>
  <c r="G145" i="7" s="1"/>
  <c r="I145" i="7" s="1"/>
  <c r="F47" i="7"/>
  <c r="G47" i="7" s="1"/>
  <c r="I47" i="7" s="1"/>
  <c r="F156" i="7"/>
  <c r="G156" i="7" s="1"/>
  <c r="I156" i="7" s="1"/>
  <c r="F176" i="7"/>
  <c r="G176" i="7" s="1"/>
  <c r="I176" i="7" s="1"/>
  <c r="F87" i="7"/>
  <c r="G87" i="7" s="1"/>
  <c r="I87" i="7" s="1"/>
  <c r="F48" i="7"/>
  <c r="G48" i="7" s="1"/>
  <c r="I48" i="7" s="1"/>
  <c r="F43" i="7"/>
  <c r="G43" i="7" s="1"/>
  <c r="I43" i="7" s="1"/>
  <c r="F125" i="7"/>
  <c r="G125" i="7" s="1"/>
  <c r="I125" i="7" s="1"/>
  <c r="F187" i="7"/>
  <c r="G187" i="7" s="1"/>
  <c r="I187" i="7" s="1"/>
  <c r="F95" i="7"/>
  <c r="G95" i="7" s="1"/>
  <c r="I95" i="7" s="1"/>
  <c r="F147" i="7"/>
  <c r="G147" i="7" s="1"/>
  <c r="I147" i="7" s="1"/>
  <c r="F140" i="7"/>
  <c r="G140" i="7" s="1"/>
  <c r="I140" i="7" s="1"/>
  <c r="F93" i="7"/>
  <c r="G93" i="7" s="1"/>
  <c r="I93" i="7" s="1"/>
  <c r="F88" i="7"/>
  <c r="G88" i="7" s="1"/>
  <c r="I88" i="7" s="1"/>
  <c r="F153" i="7"/>
  <c r="G153" i="7" s="1"/>
  <c r="I153" i="7" s="1"/>
  <c r="F63" i="7"/>
  <c r="G63" i="7" s="1"/>
  <c r="I63" i="7" s="1"/>
  <c r="F91" i="7"/>
  <c r="G91" i="7" s="1"/>
  <c r="I91" i="7" s="1"/>
  <c r="F83" i="7"/>
  <c r="G83" i="7" s="1"/>
  <c r="I83" i="7" s="1"/>
  <c r="F73" i="7"/>
  <c r="G73" i="7" s="1"/>
  <c r="I73" i="7" s="1"/>
  <c r="F59" i="7"/>
  <c r="G59" i="7" s="1"/>
  <c r="I59" i="7" s="1"/>
  <c r="F133" i="7"/>
  <c r="G133" i="7" s="1"/>
  <c r="I133" i="7" s="1"/>
  <c r="F23" i="7"/>
  <c r="G23" i="7" s="1"/>
  <c r="I23" i="7" s="1"/>
  <c r="F10" i="7"/>
  <c r="G10" i="7" s="1"/>
  <c r="I10" i="7" s="1"/>
  <c r="F152" i="7"/>
  <c r="G152" i="7" s="1"/>
  <c r="I152" i="7" s="1"/>
  <c r="F123" i="7"/>
  <c r="G123" i="7" s="1"/>
  <c r="I123" i="7" s="1"/>
  <c r="F111" i="7"/>
  <c r="G111" i="7" s="1"/>
  <c r="I111" i="7" s="1"/>
  <c r="F112" i="7"/>
  <c r="G112" i="7" s="1"/>
  <c r="I112" i="7" s="1"/>
  <c r="F142" i="7"/>
  <c r="G142" i="7" s="1"/>
  <c r="I142" i="7" s="1"/>
  <c r="F75" i="7"/>
  <c r="G75" i="7" s="1"/>
  <c r="I75" i="7" s="1"/>
  <c r="F174" i="7"/>
  <c r="G174" i="7" s="1"/>
  <c r="I174" i="7" s="1"/>
  <c r="F119" i="7"/>
  <c r="G119" i="7" s="1"/>
  <c r="I119" i="7" s="1"/>
  <c r="F34" i="7"/>
  <c r="G34" i="7" s="1"/>
  <c r="I34" i="7" s="1"/>
  <c r="F90" i="7"/>
  <c r="G90" i="7" s="1"/>
  <c r="I90" i="7" s="1"/>
  <c r="F46" i="7"/>
  <c r="G46" i="7" s="1"/>
  <c r="I46" i="7" s="1"/>
  <c r="F70" i="7"/>
  <c r="G70" i="7" s="1"/>
  <c r="I70" i="7" s="1"/>
  <c r="F9" i="7"/>
  <c r="G9" i="7" s="1"/>
  <c r="F53" i="7"/>
  <c r="G53" i="7" s="1"/>
  <c r="I53" i="7" s="1"/>
  <c r="F25" i="7"/>
  <c r="G25" i="7" s="1"/>
  <c r="I25" i="7" s="1"/>
  <c r="F163" i="7"/>
  <c r="G163" i="7" s="1"/>
  <c r="I163" i="7" s="1"/>
  <c r="F49" i="7"/>
  <c r="G49" i="7" s="1"/>
  <c r="I49" i="7" s="1"/>
  <c r="F100" i="7"/>
  <c r="G100" i="7" s="1"/>
  <c r="I100" i="7" s="1"/>
  <c r="F139" i="7"/>
  <c r="G139" i="7" s="1"/>
  <c r="I139" i="7" s="1"/>
  <c r="F138" i="7"/>
  <c r="G138" i="7" s="1"/>
  <c r="I138" i="7" s="1"/>
  <c r="F97" i="7"/>
  <c r="G97" i="7" s="1"/>
  <c r="F184" i="7"/>
  <c r="G184" i="7" s="1"/>
  <c r="I184" i="7" s="1"/>
  <c r="F101" i="7"/>
  <c r="G101" i="7" s="1"/>
  <c r="I101" i="7" s="1"/>
  <c r="F12" i="7"/>
  <c r="G12" i="7" s="1"/>
  <c r="I12" i="7" s="1"/>
  <c r="F128" i="7"/>
  <c r="G128" i="7" s="1"/>
  <c r="I128" i="7" s="1"/>
  <c r="F121" i="7"/>
  <c r="G121" i="7" s="1"/>
  <c r="I121" i="7" s="1"/>
  <c r="F56" i="7"/>
  <c r="G56" i="7" s="1"/>
  <c r="I56" i="7" s="1"/>
  <c r="F168" i="7"/>
  <c r="G168" i="7" s="1"/>
  <c r="I168" i="7" s="1"/>
  <c r="F157" i="7"/>
  <c r="G157" i="7" s="1"/>
  <c r="I157" i="7" s="1"/>
  <c r="F106" i="7"/>
  <c r="G106" i="7" s="1"/>
  <c r="I106" i="7" s="1"/>
  <c r="F135" i="7"/>
  <c r="G135" i="7" s="1"/>
  <c r="I135" i="7" s="1"/>
  <c r="F79" i="7"/>
  <c r="G79" i="7" s="1"/>
  <c r="I79" i="7" s="1"/>
  <c r="F113" i="7"/>
  <c r="G113" i="7" s="1"/>
  <c r="I113" i="7" s="1"/>
  <c r="F60" i="7"/>
  <c r="G60" i="7" s="1"/>
  <c r="I60" i="7" s="1"/>
  <c r="F85" i="7"/>
  <c r="G85" i="7" s="1"/>
  <c r="I85" i="7" s="1"/>
  <c r="F18" i="7"/>
  <c r="G18" i="7" s="1"/>
  <c r="I18" i="7" s="1"/>
  <c r="F41" i="7"/>
  <c r="G41" i="7" s="1"/>
  <c r="I41" i="7" s="1"/>
  <c r="F172" i="7"/>
  <c r="G172" i="7" s="1"/>
  <c r="I172" i="7" s="1"/>
  <c r="F57" i="7"/>
  <c r="G57" i="7" s="1"/>
  <c r="I57" i="7" s="1"/>
  <c r="F45" i="7"/>
  <c r="G45" i="7" s="1"/>
  <c r="I45" i="7" s="1"/>
  <c r="F131" i="7"/>
  <c r="G131" i="7" s="1"/>
  <c r="I131" i="7" s="1"/>
  <c r="F186" i="7"/>
  <c r="G186" i="7" s="1"/>
  <c r="I186" i="7" s="1"/>
  <c r="F136" i="7"/>
  <c r="G136" i="7" s="1"/>
  <c r="I136" i="7" s="1"/>
  <c r="F67" i="7"/>
  <c r="G67" i="7" s="1"/>
  <c r="I67" i="7" s="1"/>
  <c r="F55" i="7"/>
  <c r="G55" i="7" s="1"/>
  <c r="I55" i="7" s="1"/>
  <c r="F84" i="7"/>
  <c r="G84" i="7" s="1"/>
  <c r="I84" i="7" s="1"/>
  <c r="F26" i="7"/>
  <c r="G26" i="7" s="1"/>
  <c r="I26" i="7" s="1"/>
  <c r="F148" i="7"/>
  <c r="G148" i="7" s="1"/>
  <c r="I148" i="7" s="1"/>
  <c r="F105" i="7"/>
  <c r="G105" i="7" s="1"/>
  <c r="I105" i="7" s="1"/>
  <c r="F28" i="7"/>
  <c r="G28" i="7" s="1"/>
  <c r="I28" i="7" s="1"/>
  <c r="F94" i="7"/>
  <c r="G94" i="7" s="1"/>
  <c r="I94" i="7" s="1"/>
  <c r="F141" i="7"/>
  <c r="G141" i="7" s="1"/>
  <c r="I141" i="7" s="1"/>
  <c r="F77" i="7"/>
  <c r="G77" i="7" s="1"/>
  <c r="I77" i="7" s="1"/>
  <c r="F178" i="7"/>
  <c r="G178" i="7" s="1"/>
  <c r="I178" i="7" s="1"/>
  <c r="F180" i="7"/>
  <c r="G180" i="7" s="1"/>
  <c r="I180" i="7" s="1"/>
  <c r="F96" i="7"/>
  <c r="G96" i="7" s="1"/>
  <c r="I96" i="7" s="1"/>
  <c r="F32" i="7"/>
  <c r="G32" i="7" s="1"/>
  <c r="I32" i="7" s="1"/>
  <c r="F69" i="7"/>
  <c r="G69" i="7" s="1"/>
  <c r="I69" i="7" s="1"/>
  <c r="F188" i="7" l="1"/>
  <c r="I9" i="7"/>
  <c r="G188" i="7"/>
  <c r="I188" i="7" s="1"/>
</calcChain>
</file>

<file path=xl/comments1.xml><?xml version="1.0" encoding="utf-8"?>
<comments xmlns="http://schemas.openxmlformats.org/spreadsheetml/2006/main">
  <authors>
    <author>Madlen Tschopp</author>
  </authors>
  <commentList>
    <comment ref="A9" authorId="0">
      <text>
        <r>
          <rPr>
            <b/>
            <sz val="8"/>
            <color indexed="81"/>
            <rFont val="Tahoma"/>
            <family val="2"/>
          </rPr>
          <t>Madlen Tschopp:</t>
        </r>
        <r>
          <rPr>
            <sz val="8"/>
            <color indexed="81"/>
            <rFont val="Tahoma"/>
            <family val="2"/>
          </rPr>
          <t xml:space="preserve">
</t>
        </r>
      </text>
    </comment>
  </commentList>
</comments>
</file>

<file path=xl/sharedStrings.xml><?xml version="1.0" encoding="utf-8"?>
<sst xmlns="http://schemas.openxmlformats.org/spreadsheetml/2006/main" count="1385" uniqueCount="1385">
  <si>
    <t>SC66 Doc. 10.1 Anexo 2</t>
  </si>
  <si>
    <t>Programa de trabajo desglosado por partidas de gastos de la Secretaría CITES para 2015 al 31 de octubre de 2015</t>
  </si>
  <si>
    <t>A.  Órganos Rectores y Servicios de Conferencias</t>
  </si>
  <si>
    <t>Actividad No.</t>
  </si>
  <si>
    <t>Actividades</t>
  </si>
  <si>
    <t>Orden de prioridad</t>
  </si>
  <si>
    <t xml:space="preserve">Fondo Fiduciario </t>
  </si>
  <si>
    <t>Fondos externos</t>
  </si>
  <si>
    <t>Presupuesto</t>
  </si>
  <si>
    <t>Gasto provisional</t>
  </si>
  <si>
    <t>Presupuesto indicativo</t>
  </si>
  <si>
    <t>Contribución recibida</t>
  </si>
  <si>
    <t>Gasto provisional</t>
  </si>
  <si>
    <t>Balance remaining</t>
  </si>
  <si>
    <t>Donante</t>
  </si>
  <si>
    <t>CTL*</t>
  </si>
  <si>
    <t>CTL*</t>
  </si>
  <si>
    <t>QTL**</t>
  </si>
  <si>
    <t>QTL**</t>
  </si>
  <si>
    <t>QTL**</t>
  </si>
  <si>
    <t>QTL**</t>
  </si>
  <si>
    <t>QTL**</t>
  </si>
  <si>
    <t>Organizar y apoyar la 17a reunión de la Conferencia de las Partes</t>
  </si>
  <si>
    <t>Básica</t>
  </si>
  <si>
    <t>N/A</t>
  </si>
  <si>
    <t xml:space="preserve">Organizar y apoyar las 65a, 66a, 67a y 68a reuniones del Comité Permanente </t>
  </si>
  <si>
    <t>Básica</t>
  </si>
  <si>
    <t>N/A</t>
  </si>
  <si>
    <t>Organización y apoyo de la 27a y 28a reunión del Comité de Fauna</t>
  </si>
  <si>
    <t>Básica</t>
  </si>
  <si>
    <t>Israel</t>
  </si>
  <si>
    <t>Organizar y apoyar las 21a y 22a reuniones del Comité de Flora</t>
  </si>
  <si>
    <t>Básica</t>
  </si>
  <si>
    <t>Georgia</t>
  </si>
  <si>
    <t xml:space="preserve">Mantener, actualizar y publicar toda la documentación de referencia oficial de la CITES </t>
  </si>
  <si>
    <t>Básica</t>
  </si>
  <si>
    <t>N/A</t>
  </si>
  <si>
    <t>Facilitar la traducción de documentos</t>
  </si>
  <si>
    <t>Básica</t>
  </si>
  <si>
    <t>N/A</t>
  </si>
  <si>
    <t>Organizar otros talleres y reuniones de la CITES</t>
  </si>
  <si>
    <t>Alto</t>
  </si>
  <si>
    <t>Derechos de inscripción</t>
  </si>
  <si>
    <t>Prestar asistencia en la correspondencia de la oficina, fotocopias, faxes y otros sistemas de despacho</t>
  </si>
  <si>
    <t>Alto</t>
  </si>
  <si>
    <t>N/A</t>
  </si>
  <si>
    <t xml:space="preserve">TOTAL </t>
  </si>
  <si>
    <t>Costos de personal: D2 (1/10), P5 (1), P3 (1) &amp; GS (3)</t>
  </si>
  <si>
    <t>Total general</t>
  </si>
  <si>
    <t>B.  Servicios Científicos</t>
  </si>
  <si>
    <t>Actividad No.</t>
  </si>
  <si>
    <t>Actividades</t>
  </si>
  <si>
    <t>Orden de prioridad</t>
  </si>
  <si>
    <t xml:space="preserve">Fondo Fiduciario </t>
  </si>
  <si>
    <t>Fondos externos</t>
  </si>
  <si>
    <t>Presupuesto</t>
  </si>
  <si>
    <t>Gastos</t>
  </si>
  <si>
    <t>Presupuesto indicativo</t>
  </si>
  <si>
    <t>Contribución recibida</t>
  </si>
  <si>
    <t>Gastos</t>
  </si>
  <si>
    <t>Balance remaining</t>
  </si>
  <si>
    <t>Donante</t>
  </si>
  <si>
    <t>CTL*</t>
  </si>
  <si>
    <t>CTL*</t>
  </si>
  <si>
    <t>QTL**</t>
  </si>
  <si>
    <t>QTL**</t>
  </si>
  <si>
    <t>QTL**</t>
  </si>
  <si>
    <t>QTL**</t>
  </si>
  <si>
    <t>QTL**</t>
  </si>
  <si>
    <t>Facilitar y gestionar el examen del comercio significativo</t>
  </si>
  <si>
    <t>Básica</t>
  </si>
  <si>
    <t>Prestar asesoramiento en el examen periódico de los Apéndices</t>
  </si>
  <si>
    <t>Medio</t>
  </si>
  <si>
    <t>Prestar asesoramiento a las Partes en las propuestas de enmienda de los Apéndices</t>
  </si>
  <si>
    <t>Básica</t>
  </si>
  <si>
    <t>Cooperar con otros en relación con asuntos científicos, incluso con  la OIMT, CMS y la IPBES</t>
  </si>
  <si>
    <t>Medio</t>
  </si>
  <si>
    <t>Apoyar la capacitación de las Partes en cuestiones científicas, en particular en relación con los dictámenes de extracción no perjudicial</t>
  </si>
  <si>
    <t>Alto</t>
  </si>
  <si>
    <t>Decisiones y Resoluciones de la CoP16 relacionadas con asuntos científicos</t>
  </si>
  <si>
    <t>Alto</t>
  </si>
  <si>
    <t>Participar en la Asociación para indicadores de la diversidad biológica y el CBD AHTEG sobre indicadores</t>
  </si>
  <si>
    <t>Bajo</t>
  </si>
  <si>
    <t>Aplicar la fase III de MIKE</t>
  </si>
  <si>
    <t>Alto</t>
  </si>
  <si>
    <t>Aplicar el Sistema de supervisión de la matanza ilegal de elefantes (MIKE) en África</t>
  </si>
  <si>
    <t>Alto</t>
  </si>
  <si>
    <t xml:space="preserve">TOTAL </t>
  </si>
  <si>
    <t>Costos de personal: D2 (1/10), P5 (1), P4 (2) &amp; GS (1)</t>
  </si>
  <si>
    <t>Total general</t>
  </si>
  <si>
    <t>C. Servicios de apoyo a la observancia</t>
  </si>
  <si>
    <t>Actividad No.</t>
  </si>
  <si>
    <t>Actividades</t>
  </si>
  <si>
    <t>Orden de prioridad</t>
  </si>
  <si>
    <t xml:space="preserve">Fondo Fiduciario </t>
  </si>
  <si>
    <t>Fondos externos</t>
  </si>
  <si>
    <t>Presupuesto</t>
  </si>
  <si>
    <t>Gastos</t>
  </si>
  <si>
    <t>Presupuesto indicativo</t>
  </si>
  <si>
    <t>Contribución recibida</t>
  </si>
  <si>
    <t>Gastos</t>
  </si>
  <si>
    <t>Balance remaining</t>
  </si>
  <si>
    <t>Donante</t>
  </si>
  <si>
    <t>CTL*</t>
  </si>
  <si>
    <t>CTL*</t>
  </si>
  <si>
    <t>QTL**</t>
  </si>
  <si>
    <t>QTL**</t>
  </si>
  <si>
    <t>QTL**</t>
  </si>
  <si>
    <t>QTL**</t>
  </si>
  <si>
    <t>QTL**</t>
  </si>
  <si>
    <t>Facilitar orientación  y asesoría de mejores prácticas a las Partes y organismos de aplicación de la ley</t>
  </si>
  <si>
    <t>Básica</t>
  </si>
  <si>
    <t>Coordinar continuamente los equipos de tareas especializados en la aplicación de las normas</t>
  </si>
  <si>
    <t>Alto</t>
  </si>
  <si>
    <t>Realizar misiones de verificación, técnicas y relacionadas con la observancia</t>
  </si>
  <si>
    <t>Alto</t>
  </si>
  <si>
    <t>Hong Kong</t>
  </si>
  <si>
    <t>Decisiones y Resoluciones de la CoP16 relacionadas con asuntos de observancia</t>
  </si>
  <si>
    <t>Alto</t>
  </si>
  <si>
    <t>Estados Unidos de América</t>
  </si>
  <si>
    <t>Oficial de apoyo para el ICCWC</t>
  </si>
  <si>
    <t>Alto</t>
  </si>
  <si>
    <t>Actividades del ICCWC</t>
  </si>
  <si>
    <t>Alto</t>
  </si>
  <si>
    <t>Participar en las actividades de Aduanas verde del PNUMA y otras iniciativas</t>
  </si>
  <si>
    <t>Medio</t>
  </si>
  <si>
    <t xml:space="preserve">TOTAL </t>
  </si>
  <si>
    <t>Costos de personal: D2 (1/10), P5 (1), P3 (1) &amp; GS (1/2)</t>
  </si>
  <si>
    <t>Total general</t>
  </si>
  <si>
    <t>D. Servicios de asuntos jurídicos y política comercial</t>
  </si>
  <si>
    <t>Actividad No.</t>
  </si>
  <si>
    <t>Actividades</t>
  </si>
  <si>
    <t>Orden de prioridad</t>
  </si>
  <si>
    <t xml:space="preserve">Fondo Fiduciario </t>
  </si>
  <si>
    <t>Fondos externos</t>
  </si>
  <si>
    <t>Presupuesto</t>
  </si>
  <si>
    <t>Gastos</t>
  </si>
  <si>
    <t>Presupuesto indicativo</t>
  </si>
  <si>
    <t>Contribución recibida</t>
  </si>
  <si>
    <t>Gastos</t>
  </si>
  <si>
    <t>Balance remaining</t>
  </si>
  <si>
    <t>Donante</t>
  </si>
  <si>
    <t>CTL*</t>
  </si>
  <si>
    <t>CTL*</t>
  </si>
  <si>
    <t>QTL**</t>
  </si>
  <si>
    <t>QTL**</t>
  </si>
  <si>
    <t>QTL**</t>
  </si>
  <si>
    <t>QTL**</t>
  </si>
  <si>
    <t>QTL**</t>
  </si>
  <si>
    <t>Aplicar el proyecto de legislación nacional</t>
  </si>
  <si>
    <t>Básica</t>
  </si>
  <si>
    <t>Reino Unido</t>
  </si>
  <si>
    <t>Acopiar y actualizar de manera regular los informes anuales y bienales</t>
  </si>
  <si>
    <t>Alto</t>
  </si>
  <si>
    <t>Realizar misiones a las Partes para asesorar en cuestiones de observancia, evaluación y verificación</t>
  </si>
  <si>
    <t>Alto</t>
  </si>
  <si>
    <t>Facilitar estampillas de seguridad, firmas, sellos oficiales y etiquetas</t>
  </si>
  <si>
    <t>Alto</t>
  </si>
  <si>
    <t>Coordinar y promocionar la cooperación internacional y sinergias, incluso participar en reuniones de organismos relevantes (IPBES, EMG, BLG, etc.)</t>
  </si>
  <si>
    <t>Medio</t>
  </si>
  <si>
    <t>Evaluar resoluciones, cooperaciones bilaterales y medidas multilaterales</t>
  </si>
  <si>
    <t>Medio</t>
  </si>
  <si>
    <t>Decisiones y Resoluciones de la CoP16 relacionadas con la legislación y la observancia</t>
  </si>
  <si>
    <t>Alto</t>
  </si>
  <si>
    <t>Colaborar de manera continua con la OMC, el CCI, el PNUMA/ETB, UNCTAD y otras agencias de revisiones de las políticas sobre comercio de vida silvestre</t>
  </si>
  <si>
    <t>Bajo</t>
  </si>
  <si>
    <t>Asesorar y orientar cómo tratar el impacto en los medios de sustento</t>
  </si>
  <si>
    <t>Medio</t>
  </si>
  <si>
    <t>Asistencia temporal (personal de SG)</t>
  </si>
  <si>
    <t>Alto</t>
  </si>
  <si>
    <t xml:space="preserve">TOTAL </t>
  </si>
  <si>
    <t>Costos de personal: D2 (1/10), P5 (1), P4 (1/2) and GS (1/2)</t>
  </si>
  <si>
    <t>Total general</t>
  </si>
  <si>
    <t>E. Servicios de gestión del conocimiento, fomento de capacidad y divulgación</t>
  </si>
  <si>
    <t>Actividad No.</t>
  </si>
  <si>
    <t>Actividades</t>
  </si>
  <si>
    <t>Orden de prioridad</t>
  </si>
  <si>
    <t xml:space="preserve">Fondo Fiduciario </t>
  </si>
  <si>
    <t>Fondos externos</t>
  </si>
  <si>
    <t>Presupuesto</t>
  </si>
  <si>
    <t>Gastos</t>
  </si>
  <si>
    <t>Presupuesto indicativo</t>
  </si>
  <si>
    <t>Contribución recibida</t>
  </si>
  <si>
    <t>Gastos</t>
  </si>
  <si>
    <t>Balance remaining</t>
  </si>
  <si>
    <t>Donante</t>
  </si>
  <si>
    <t>CTL*</t>
  </si>
  <si>
    <t>CTL*</t>
  </si>
  <si>
    <t>QTL**</t>
  </si>
  <si>
    <t>QTL**</t>
  </si>
  <si>
    <t>QTL**</t>
  </si>
  <si>
    <t>QTL**</t>
  </si>
  <si>
    <t>QTL**</t>
  </si>
  <si>
    <t>Facilitar formación centrada principalmente en las Autoridades Administrativas y Científicas</t>
  </si>
  <si>
    <t>Básica</t>
  </si>
  <si>
    <t>N/A</t>
  </si>
  <si>
    <t>Crear material y cursos de formación</t>
  </si>
  <si>
    <t>Alto</t>
  </si>
  <si>
    <t xml:space="preserve">Facilitar una base de datos de seguimiento, un análisis de datos de comercio y apoyo técnico </t>
  </si>
  <si>
    <t>Básica</t>
  </si>
  <si>
    <t>N/A</t>
  </si>
  <si>
    <t>Prestar asistencia y realizar misiones de capacitación y gestión del conocimiento</t>
  </si>
  <si>
    <t>Alto</t>
  </si>
  <si>
    <t xml:space="preserve">Publicaciones, impresiones, entre otras, la actualización del sitio web de la CITES </t>
  </si>
  <si>
    <t>Básica</t>
  </si>
  <si>
    <t>Asistir en el desarrollo de sistemas de emisión electrónica de permisos que se adhieran a las normas internacionales</t>
  </si>
  <si>
    <t>Medio</t>
  </si>
  <si>
    <t>Desarrollar herramientas de aprendizaje en línea de la CITES (Colegio virtual)</t>
  </si>
  <si>
    <t>Alto</t>
  </si>
  <si>
    <t>Decisiones y Resoluciones de la CoP16 relacionadas con la capacitación y la gestión de conocimiento</t>
  </si>
  <si>
    <t>Alto</t>
  </si>
  <si>
    <t>Cooperar con instituciones financieras y donantes para obtener apoyo financiero para la CITES</t>
  </si>
  <si>
    <t>Alto</t>
  </si>
  <si>
    <t>Proporcionar apoyo a los cursos Máster CITES</t>
  </si>
  <si>
    <t>Bajo</t>
  </si>
  <si>
    <t>Asistir y fortalecer la capacidad de países en desarrollo a aplicar la CITES</t>
  </si>
  <si>
    <t>Alto</t>
  </si>
  <si>
    <t>Apoyar la base de datos y los sistemas (personal de SG)</t>
  </si>
  <si>
    <t>Medio</t>
  </si>
  <si>
    <t xml:space="preserve">TOTAL </t>
  </si>
  <si>
    <t>Costos de personal: D2 (1/10), P5 (1), P4 (1-1/2) &amp; P3 (1)</t>
  </si>
  <si>
    <t>Total general</t>
  </si>
  <si>
    <t>F. Gestión y servicios administrativos</t>
  </si>
  <si>
    <t>Actividad No.</t>
  </si>
  <si>
    <t>Actividades</t>
  </si>
  <si>
    <t>Orden de prioridad</t>
  </si>
  <si>
    <t xml:space="preserve">Fondo Fiduciario </t>
  </si>
  <si>
    <t>Fondos externos</t>
  </si>
  <si>
    <t>Presupuesto</t>
  </si>
  <si>
    <t>Gastos</t>
  </si>
  <si>
    <t>Presupuesto indicativo</t>
  </si>
  <si>
    <t>Contribución recibida</t>
  </si>
  <si>
    <t>Gastos</t>
  </si>
  <si>
    <t>Balance remaining</t>
  </si>
  <si>
    <t>Donante</t>
  </si>
  <si>
    <t>CTL*</t>
  </si>
  <si>
    <t>CTL*</t>
  </si>
  <si>
    <t>QTL**</t>
  </si>
  <si>
    <t>QTL**</t>
  </si>
  <si>
    <t>QTL**</t>
  </si>
  <si>
    <t>QTL**</t>
  </si>
  <si>
    <t>QTL**</t>
  </si>
  <si>
    <t>Facilitar la gestión general de la Secretaría, entre otras, realizar reuniones periódicas del Grupo de Gestión</t>
  </si>
  <si>
    <t>Básica</t>
  </si>
  <si>
    <t>N/A</t>
  </si>
  <si>
    <t>Gestionar proyectos, incluso desarrollar documentos de proyectos y de relaciones con los donantes</t>
  </si>
  <si>
    <t>Básica</t>
  </si>
  <si>
    <t>N/A</t>
  </si>
  <si>
    <t>Representar la CITES: fomentar la sensibilización del público; la visibilidad; el apoyo financiero y en especies; y garantizar la veracidad de la información de la CITES</t>
  </si>
  <si>
    <t>Básica</t>
  </si>
  <si>
    <t>Maleras Glasbruk (Suecia)</t>
  </si>
  <si>
    <t>Decisiones y Resoluciones de la CoP16 relacionadas con la cooperación, sinergias, acceso a fondos, etc.</t>
  </si>
  <si>
    <t>Alto</t>
  </si>
  <si>
    <t xml:space="preserve">TOTAL </t>
  </si>
  <si>
    <t>Costos de personal: D2 (1/2) &amp; GS (1)</t>
  </si>
  <si>
    <t>Total general</t>
  </si>
  <si>
    <t>G. Equipo, mantenimiento y otros costes operativos</t>
  </si>
  <si>
    <t>Actividad No.</t>
  </si>
  <si>
    <t>Actividades</t>
  </si>
  <si>
    <t>Orden de prioridad</t>
  </si>
  <si>
    <t xml:space="preserve">Fondo Fiduciario </t>
  </si>
  <si>
    <t>Fondos externos</t>
  </si>
  <si>
    <t>Presupuesto</t>
  </si>
  <si>
    <t>Gastos</t>
  </si>
  <si>
    <t>Presupuesto indicativo</t>
  </si>
  <si>
    <t>Contribución recibida</t>
  </si>
  <si>
    <t>Gastos</t>
  </si>
  <si>
    <t>Balance remaining</t>
  </si>
  <si>
    <t>Donante</t>
  </si>
  <si>
    <t>CTL*</t>
  </si>
  <si>
    <t>CTL*</t>
  </si>
  <si>
    <t>QTL**</t>
  </si>
  <si>
    <t>QTL**</t>
  </si>
  <si>
    <t>QTL**</t>
  </si>
  <si>
    <t>QTL**</t>
  </si>
  <si>
    <t>QTL**</t>
  </si>
  <si>
    <t>Proporcionar mantenimiento a la oficina, electricidad y limpieza</t>
  </si>
  <si>
    <t>Básica</t>
  </si>
  <si>
    <t>N/A</t>
  </si>
  <si>
    <t>Adquirir equipos fungibles y no fungibles para el suministro de oficina</t>
  </si>
  <si>
    <t>Básica</t>
  </si>
  <si>
    <t>el alquilar y el mantenimiento del equipo, entre otras, de las fotocopiadoras, los faxes, la conexión de Internet, el equipo de videoconferencia</t>
  </si>
  <si>
    <t>Básica</t>
  </si>
  <si>
    <t>N/A</t>
  </si>
  <si>
    <t>Comunicaciones, entre otras, a través de teléfonos, faxes, videoconferencias, etc.</t>
  </si>
  <si>
    <t>Básica</t>
  </si>
  <si>
    <t>N/A</t>
  </si>
  <si>
    <t>Gastos varios, entre otros, las cargas bancarias; las atenciones sociales</t>
  </si>
  <si>
    <t>Básica</t>
  </si>
  <si>
    <t>N/A</t>
  </si>
  <si>
    <t xml:space="preserve">TOTAL </t>
  </si>
  <si>
    <t xml:space="preserve">Gastos de personal </t>
  </si>
  <si>
    <t>Total general</t>
  </si>
  <si>
    <t>Costos directos y de funcionamiento totales</t>
  </si>
  <si>
    <t>Gastos de apoyo al programa</t>
  </si>
  <si>
    <t>Total general</t>
  </si>
  <si>
    <t>Notas</t>
  </si>
  <si>
    <t>* CTL - Fondo fiduciario de la CITES</t>
  </si>
  <si>
    <t>** QTL - Fondos externos de la CITES (sujeto a la disponibilidad de fondos)</t>
  </si>
  <si>
    <t>Annex 2</t>
  </si>
  <si>
    <t xml:space="preserve"> </t>
  </si>
  <si>
    <t>Operational budget under the General Trust Fund (CTL) for 2014-2016</t>
  </si>
  <si>
    <t xml:space="preserve"> Budget
line</t>
  </si>
  <si>
    <t>Description</t>
  </si>
  <si>
    <t>USD</t>
  </si>
  <si>
    <t>USD</t>
  </si>
  <si>
    <t>USD</t>
  </si>
  <si>
    <t>Expenditure</t>
  </si>
  <si>
    <t>USD</t>
  </si>
  <si>
    <t>Expenditure</t>
  </si>
  <si>
    <t>USD</t>
  </si>
  <si>
    <t>USD</t>
  </si>
  <si>
    <t>USD</t>
  </si>
  <si>
    <t>USD</t>
  </si>
  <si>
    <t>Personnel component</t>
  </si>
  <si>
    <t>Personal</t>
  </si>
  <si>
    <t>Personnel</t>
  </si>
  <si>
    <t>Secretary General - D2</t>
  </si>
  <si>
    <t>John</t>
  </si>
  <si>
    <t>Deputy Sec. General - D1</t>
  </si>
  <si>
    <t>Chief, SSU - P5</t>
  </si>
  <si>
    <t>David</t>
  </si>
  <si>
    <t>Chief, LCU - P5</t>
  </si>
  <si>
    <t>Marci</t>
  </si>
  <si>
    <t>Capacity Building Coordinator - P4</t>
  </si>
  <si>
    <t>Haruko</t>
  </si>
  <si>
    <t>Chief, CSU - P5</t>
  </si>
  <si>
    <t>Tom</t>
  </si>
  <si>
    <t xml:space="preserve">Environ'l Affairs Officer, Plants - P4 </t>
  </si>
  <si>
    <t>Milena</t>
  </si>
  <si>
    <t xml:space="preserve">Chief, KMOS - P5 </t>
  </si>
  <si>
    <t>Marcos</t>
  </si>
  <si>
    <t xml:space="preserve">Environ'l Affairs Officer, Fauna - P4 </t>
  </si>
  <si>
    <t>Vacant</t>
  </si>
  <si>
    <t xml:space="preserve">French Translator - P4 </t>
  </si>
  <si>
    <t>Spanish Translator - P4</t>
  </si>
  <si>
    <t>Documentation Officer - P3</t>
  </si>
  <si>
    <t>Helene</t>
  </si>
  <si>
    <t>Regional Support Officer</t>
  </si>
  <si>
    <t>Legal and Trade Policy Analyst - P3</t>
  </si>
  <si>
    <t>Resource Mobilization Officer - P4</t>
  </si>
  <si>
    <t>Juan Carlos</t>
  </si>
  <si>
    <t>Senior Enforcement Officer - P5</t>
  </si>
  <si>
    <t>Ben</t>
  </si>
  <si>
    <t>Enforcement Support Officer - P3</t>
  </si>
  <si>
    <t>Pia</t>
  </si>
  <si>
    <t>OTA</t>
  </si>
  <si>
    <t>Administrative Officer - P4 (PSC funded)</t>
  </si>
  <si>
    <t>OTA - 1</t>
  </si>
  <si>
    <t>Susanne</t>
  </si>
  <si>
    <t>Information Network Officer - P3 (9 M CTL + 3 M OTA)</t>
  </si>
  <si>
    <t>13 + OTA 0.25</t>
  </si>
  <si>
    <t>Yuan Liu</t>
  </si>
  <si>
    <t>Total Professional staff</t>
  </si>
  <si>
    <t>Consultants</t>
  </si>
  <si>
    <t>Translation of CoP documents</t>
  </si>
  <si>
    <t>Translation of SC documents</t>
  </si>
  <si>
    <t>Translation of AC documents</t>
  </si>
  <si>
    <t>Translation of PC documents</t>
  </si>
  <si>
    <t>General translation of documents</t>
  </si>
  <si>
    <t>Total, Consultants</t>
  </si>
  <si>
    <t>Administrative support</t>
  </si>
  <si>
    <t>Personal de servicions generales - 9 puestos</t>
  </si>
  <si>
    <t>Personnel des services généraux - 9 postes</t>
  </si>
  <si>
    <t xml:space="preserve">Conference Services Assistant - G6 </t>
  </si>
  <si>
    <t>Nadia</t>
  </si>
  <si>
    <t>Documents Assistant - G6</t>
  </si>
  <si>
    <t>Victoria</t>
  </si>
  <si>
    <t xml:space="preserve">Secretary to S.G. - G6 </t>
  </si>
  <si>
    <t>Virginia</t>
  </si>
  <si>
    <t xml:space="preserve">Secretary - G5 </t>
  </si>
  <si>
    <t xml:space="preserve">Research Assistant - G5 </t>
  </si>
  <si>
    <t xml:space="preserve">Research Assistant - G5 </t>
  </si>
  <si>
    <t>Penny</t>
  </si>
  <si>
    <t xml:space="preserve">Research Assistant - G5 </t>
  </si>
  <si>
    <t>Elena</t>
  </si>
  <si>
    <t>Documents Clerk - G4</t>
  </si>
  <si>
    <t>Pascal</t>
  </si>
  <si>
    <t>Research Assistant - G5</t>
  </si>
  <si>
    <t>OTA</t>
  </si>
  <si>
    <t>Finance Assistant - G6 (PSC funded)</t>
  </si>
  <si>
    <t>OTA - 2</t>
  </si>
  <si>
    <t>Noemi</t>
  </si>
  <si>
    <t>OTA</t>
  </si>
  <si>
    <t>Administrative Assistant - G6 (PSC funded)</t>
  </si>
  <si>
    <t>OTA -3</t>
  </si>
  <si>
    <t>Philippe</t>
  </si>
  <si>
    <t>Total, General support staff</t>
  </si>
  <si>
    <t>Viajes del personal</t>
  </si>
  <si>
    <t>Voyages du personnel</t>
  </si>
  <si>
    <t>Conference staff to CoP</t>
  </si>
  <si>
    <t>Total</t>
  </si>
  <si>
    <t>Total</t>
  </si>
  <si>
    <t>Conference staff to SC mtg</t>
  </si>
  <si>
    <t>Conference staff to AC mtg</t>
  </si>
  <si>
    <t>Conference staff to PC mtg</t>
  </si>
  <si>
    <t>Total, Administrative support</t>
  </si>
  <si>
    <t>Travel on official business</t>
  </si>
  <si>
    <t>General travel</t>
  </si>
  <si>
    <t xml:space="preserve">Total, Travel on official business </t>
  </si>
  <si>
    <t>Total, Personnel component</t>
  </si>
  <si>
    <t>Sub-contract component</t>
  </si>
  <si>
    <t>Scientific support</t>
  </si>
  <si>
    <t>Enforcement</t>
  </si>
  <si>
    <t>CITES website</t>
  </si>
  <si>
    <t>Legal affairs and trade policy</t>
  </si>
  <si>
    <t>Trade monitoring and support</t>
  </si>
  <si>
    <t>Resource mobilization</t>
  </si>
  <si>
    <t>Total, Sub-contract component</t>
  </si>
  <si>
    <t>Meetings and training component</t>
  </si>
  <si>
    <t>Group Training</t>
  </si>
  <si>
    <t>Training courses/seminars</t>
  </si>
  <si>
    <t>Total, Group Training</t>
  </si>
  <si>
    <t>Meetings</t>
  </si>
  <si>
    <t xml:space="preserve">Standing Committee (members' travel) </t>
  </si>
  <si>
    <t>Animals Committee (members' travel)</t>
  </si>
  <si>
    <t>Plants Committee (members' travel)</t>
  </si>
  <si>
    <t>Total, Meetings</t>
  </si>
  <si>
    <t>Total, Meetings and training component</t>
  </si>
  <si>
    <t>Equipment and premises component</t>
  </si>
  <si>
    <t>Expendable equipment</t>
  </si>
  <si>
    <t>Office supplies</t>
  </si>
  <si>
    <t>Total, Expendable equipment</t>
  </si>
  <si>
    <t>Non-expendable equipment</t>
  </si>
  <si>
    <t>Non-expendable equipment</t>
  </si>
  <si>
    <t>Total, Non-expendable equipment</t>
  </si>
  <si>
    <t>Premises</t>
  </si>
  <si>
    <t>Maintenance of the office</t>
  </si>
  <si>
    <t>Total, Premises</t>
  </si>
  <si>
    <t>Total, Equipment and premises component</t>
  </si>
  <si>
    <t>Miscellaneous component</t>
  </si>
  <si>
    <t>Operation and maintenance of equipment</t>
  </si>
  <si>
    <t>Maintenance of  office equipment</t>
  </si>
  <si>
    <t>Total, Operation and maintenance of equipment</t>
  </si>
  <si>
    <t>Reporting costs</t>
  </si>
  <si>
    <t>CoP-related documents</t>
  </si>
  <si>
    <t>Identification Manual</t>
  </si>
  <si>
    <t>Mantenimiento de oficinas</t>
  </si>
  <si>
    <t>Equipement et locaux</t>
  </si>
  <si>
    <t xml:space="preserve">Checklist </t>
  </si>
  <si>
    <t>Suministros de oficina</t>
  </si>
  <si>
    <t>Fournitures de bureau</t>
  </si>
  <si>
    <t>Newsletter</t>
  </si>
  <si>
    <t>Equipo no fungible</t>
  </si>
  <si>
    <t xml:space="preserve">Equipement durable </t>
  </si>
  <si>
    <t xml:space="preserve">Publications </t>
  </si>
  <si>
    <t>Mantenimiento de oficinas</t>
  </si>
  <si>
    <t>Frais d'entretien</t>
  </si>
  <si>
    <t>Other publications &amp; printing</t>
  </si>
  <si>
    <t>Mantenimiento del equipo de oficinas</t>
  </si>
  <si>
    <t>Entretien de l'équipement</t>
  </si>
  <si>
    <t>Total, Reporting costs</t>
  </si>
  <si>
    <t>Comunicaciones (teléfono, fax, etc.)</t>
  </si>
  <si>
    <t>Communication (téléphone, fax, etc.)</t>
  </si>
  <si>
    <t>Cargos bancarios</t>
  </si>
  <si>
    <t>Frais bancaires</t>
  </si>
  <si>
    <t>Sundry</t>
  </si>
  <si>
    <t>Gastos de representación</t>
  </si>
  <si>
    <t xml:space="preserve">Frais de représentation </t>
  </si>
  <si>
    <t>Communications (telephone, fax, mail, Internet)</t>
  </si>
  <si>
    <t>Total</t>
  </si>
  <si>
    <t>Total</t>
  </si>
  <si>
    <t>Logistics for CoP</t>
  </si>
  <si>
    <t xml:space="preserve">Logistics for SC meeting </t>
  </si>
  <si>
    <t>Conferencia de las Partes (CdP)</t>
  </si>
  <si>
    <t>Session de la CdP</t>
  </si>
  <si>
    <t>Logistics for AC meeting</t>
  </si>
  <si>
    <t>Traducción de documentos para la CdP</t>
  </si>
  <si>
    <t>Traduction de documents</t>
  </si>
  <si>
    <t>Logistics for PC meeting</t>
  </si>
  <si>
    <t>Salarios/viajes del personal de conferencia para la CdP</t>
  </si>
  <si>
    <t>Salaires &amp; voyage du personnel de conférence</t>
  </si>
  <si>
    <t>Bank charges</t>
  </si>
  <si>
    <t>Viajes del personal de la Secretaria para la CdP</t>
  </si>
  <si>
    <t>Voyages du personnel du Secrétariat</t>
  </si>
  <si>
    <t>Total, Sundry</t>
  </si>
  <si>
    <t>Documentos relacionados con la CdP</t>
  </si>
  <si>
    <t>Documents pour la CdP</t>
  </si>
  <si>
    <t>Logística para la CdP</t>
  </si>
  <si>
    <t>Logistique pour la session</t>
  </si>
  <si>
    <t>Hospitality</t>
  </si>
  <si>
    <t>Grupo de expertos sobre el elefante africano</t>
  </si>
  <si>
    <t>Groupe de spécialistes de l'éléphant d'Afrique</t>
  </si>
  <si>
    <t>Hospitality</t>
  </si>
  <si>
    <t>Total</t>
  </si>
  <si>
    <t>Total</t>
  </si>
  <si>
    <t>Total, Hospitality</t>
  </si>
  <si>
    <t>Comité Permanente (SC)</t>
  </si>
  <si>
    <t>Session de la CdP</t>
  </si>
  <si>
    <t>Total, Miscellaneous component</t>
  </si>
  <si>
    <t>Traducción de documentos</t>
  </si>
  <si>
    <t>Traduction de documents</t>
  </si>
  <si>
    <t>Salarios/viajes del personal contratado para las reuniones del SC</t>
  </si>
  <si>
    <t>Salaires &amp; voyage du personnel de conférence</t>
  </si>
  <si>
    <t>Total direct costs</t>
  </si>
  <si>
    <t>Viajes de los miembros del SC</t>
  </si>
  <si>
    <t>Voyage de membres du Comité</t>
  </si>
  <si>
    <t>Programme Support Costs (13 %)</t>
  </si>
  <si>
    <t>Logística para las reuniones del SC</t>
  </si>
  <si>
    <t>Logistique pour la session</t>
  </si>
  <si>
    <t>TOTAL COSTS</t>
  </si>
  <si>
    <t>TOTAL GENERAL</t>
  </si>
  <si>
    <t>TOTAL GENERAL</t>
  </si>
  <si>
    <t>Percentage of expenditure</t>
  </si>
  <si>
    <t>2012-2013 average annual budget</t>
  </si>
  <si>
    <t>Average 2014-2016 budget</t>
  </si>
  <si>
    <t>2014-2016 average annual budget</t>
  </si>
  <si>
    <t>Difference</t>
  </si>
  <si>
    <t>Average annual percentage of increase in the budget</t>
  </si>
  <si>
    <t>Annex 3</t>
  </si>
  <si>
    <t>Support to CITES activities (QTL) for 2014-2016</t>
  </si>
  <si>
    <t xml:space="preserve"> Budget
line</t>
  </si>
  <si>
    <t>Description</t>
  </si>
  <si>
    <t>Budget CoP-16</t>
  </si>
  <si>
    <t>Budget IMIS</t>
  </si>
  <si>
    <t>Expenditure</t>
  </si>
  <si>
    <t>Project</t>
  </si>
  <si>
    <t>Contribution received</t>
  </si>
  <si>
    <t>Donor</t>
  </si>
  <si>
    <t>Budget CoP-16</t>
  </si>
  <si>
    <t>Contribution received</t>
  </si>
  <si>
    <t>Expenditure</t>
  </si>
  <si>
    <t>Donor</t>
  </si>
  <si>
    <t>Personnel component</t>
  </si>
  <si>
    <t>Professional staff</t>
  </si>
  <si>
    <t>ICCWC Support Officer - P2 (funded by UK)</t>
  </si>
  <si>
    <t>2K70</t>
  </si>
  <si>
    <t>United Kingdom</t>
  </si>
  <si>
    <t>Edward</t>
  </si>
  <si>
    <t>Marine Species Officers - P2 (JPO funded by Germany)</t>
  </si>
  <si>
    <t>Daniel (JPO line UNEP - Germany</t>
  </si>
  <si>
    <t>CITES/CMS Progamme Officer - P3 (funded by Germany)</t>
  </si>
  <si>
    <t>Clara (50%? - Germany)</t>
  </si>
  <si>
    <t>Coordinator MIKE - P4 (funded from ENRTP project 2L59)</t>
  </si>
  <si>
    <t>2L59</t>
  </si>
  <si>
    <t>see below under line 2112</t>
  </si>
  <si>
    <t>Julian</t>
  </si>
  <si>
    <t>Database Anlyst MIKE - P3 (funded from ENRTP project 2L59)</t>
  </si>
  <si>
    <t>2L59</t>
  </si>
  <si>
    <t>see below under line 2112</t>
  </si>
  <si>
    <t>Mrigesh - start mid-January 2016</t>
  </si>
  <si>
    <t>Programme Management Officer - P3 (funded from ENRTP 2L59)</t>
  </si>
  <si>
    <t>2L59</t>
  </si>
  <si>
    <t>see below under line 2112</t>
  </si>
  <si>
    <t>David - start 01.12.2015</t>
  </si>
  <si>
    <t>Total, Professional staff</t>
  </si>
  <si>
    <t>Consultants</t>
  </si>
  <si>
    <t>Periodic review of the Appendices</t>
  </si>
  <si>
    <t>2K70</t>
  </si>
  <si>
    <t>National Legislation Project</t>
  </si>
  <si>
    <t>2K70</t>
  </si>
  <si>
    <t>Assistance on livelihood issues</t>
  </si>
  <si>
    <t>E-permitting tools</t>
  </si>
  <si>
    <t>Review of Resolutions, multilateral measures</t>
  </si>
  <si>
    <t>General consultancy</t>
  </si>
  <si>
    <t>ICCWC support expert</t>
  </si>
  <si>
    <t>2K70</t>
  </si>
  <si>
    <t>Lisa consultant</t>
  </si>
  <si>
    <t>Webiste Assistance</t>
  </si>
  <si>
    <t>2K70</t>
  </si>
  <si>
    <t>Eua de Web consultancy</t>
  </si>
  <si>
    <t>Translation of document</t>
  </si>
  <si>
    <t>Timber trade study</t>
  </si>
  <si>
    <t>2K70</t>
  </si>
  <si>
    <t>United States of America</t>
  </si>
  <si>
    <t>Enforcement Support Officer, National Ivory Action Plans (Lisa)</t>
  </si>
  <si>
    <t>2K70</t>
  </si>
  <si>
    <t>USA</t>
  </si>
  <si>
    <t>Total, Consultants</t>
  </si>
  <si>
    <t>Administrative support</t>
  </si>
  <si>
    <t>(Database and Systems Assistant) Team Assistant</t>
  </si>
  <si>
    <t>2K70</t>
  </si>
  <si>
    <t>Shashika?</t>
  </si>
  <si>
    <t>Progamme Assistant - G5 (funded from ENRTP project 2K15/16)</t>
  </si>
  <si>
    <t>Sarina (40%)</t>
  </si>
  <si>
    <t>Administrative support MIKE - G6 (funded from ENRTP 2L59)</t>
  </si>
  <si>
    <t>2L59</t>
  </si>
  <si>
    <t>Margaret</t>
  </si>
  <si>
    <t>Administrative support MIKE - G5 (funded fom ENRTP project 2L59)</t>
  </si>
  <si>
    <t>2L59</t>
  </si>
  <si>
    <t>Vacant (1/10/15) former Claire</t>
  </si>
  <si>
    <t>Temporary assistance</t>
  </si>
  <si>
    <t>Total, Administrative support</t>
  </si>
  <si>
    <t>Travel on official business</t>
  </si>
  <si>
    <t xml:space="preserve">Cooperation with other scientific bodies </t>
  </si>
  <si>
    <t>2K70</t>
  </si>
  <si>
    <t>Compliance-related assistance &amp; missions</t>
  </si>
  <si>
    <t>2K70</t>
  </si>
  <si>
    <t>Capacity-building national legislation project</t>
  </si>
  <si>
    <t>2K70</t>
  </si>
  <si>
    <t>Japan</t>
  </si>
  <si>
    <t>Enforcement-related missions</t>
  </si>
  <si>
    <t>2K70</t>
  </si>
  <si>
    <t>Hong Kong</t>
  </si>
  <si>
    <t>ICCWC travel</t>
  </si>
  <si>
    <t>2K70</t>
  </si>
  <si>
    <t>Travel related to capacity building and knowledge management</t>
  </si>
  <si>
    <t>2K70</t>
  </si>
  <si>
    <t>Participation in meetings on international cooperation &amp; synergies</t>
  </si>
  <si>
    <t>2K70</t>
  </si>
  <si>
    <t>Capacity-building national legislation project</t>
  </si>
  <si>
    <t>2K70</t>
  </si>
  <si>
    <t>Japan</t>
  </si>
  <si>
    <t>Access to financing &amp; resource mobilization</t>
  </si>
  <si>
    <t>2K70</t>
  </si>
  <si>
    <t>CITES Staff travel to CoP meeting / preliminary site-vistis</t>
  </si>
  <si>
    <t>2K70</t>
  </si>
  <si>
    <t>New Party briefing (Mozambique and Angola)</t>
  </si>
  <si>
    <t>2K70</t>
  </si>
  <si>
    <t>United Kingdom</t>
  </si>
  <si>
    <t xml:space="preserve">Reimbursable travel </t>
  </si>
  <si>
    <t>2K70</t>
  </si>
  <si>
    <t xml:space="preserve">Total, Travel on official business </t>
  </si>
  <si>
    <t>Total, Personnel component</t>
  </si>
  <si>
    <t>Sub-contract component</t>
  </si>
  <si>
    <t>CoP16 Decision - Scientific support</t>
  </si>
  <si>
    <t>2K70</t>
  </si>
  <si>
    <t>CoP16 Decision - Scientific support</t>
  </si>
  <si>
    <t>2K15</t>
  </si>
  <si>
    <t>CoP16 Decision - Enforcement</t>
  </si>
  <si>
    <t>2K70</t>
  </si>
  <si>
    <t>CoP16 Decision - Enforcement</t>
  </si>
  <si>
    <t>2K15</t>
  </si>
  <si>
    <t>Cooperations between CITES and ITTO</t>
  </si>
  <si>
    <t>2K70</t>
  </si>
  <si>
    <t>CoP16 Decision - Legislation and compliance</t>
  </si>
  <si>
    <t>CoP16 Decision - Legislation and compliance</t>
  </si>
  <si>
    <t>2K15</t>
  </si>
  <si>
    <t>CoP16 Decision - Capacity building and KM</t>
  </si>
  <si>
    <t>2K70</t>
  </si>
  <si>
    <t>CoP16 Decision - Capacity building and KM</t>
  </si>
  <si>
    <t>2K15</t>
  </si>
  <si>
    <t>CoP16 Decision - Synergies, cooperations, access to funding</t>
  </si>
  <si>
    <t>Non-detriment findings</t>
  </si>
  <si>
    <t>2K15</t>
  </si>
  <si>
    <t>CITES Implementation</t>
  </si>
  <si>
    <t>2K70</t>
  </si>
  <si>
    <t>Enforcement-related activties</t>
  </si>
  <si>
    <t>2K70</t>
  </si>
  <si>
    <t>Coordination of enforcement task forces</t>
  </si>
  <si>
    <t>Snake trade and Conservation Management</t>
  </si>
  <si>
    <t>2K70</t>
  </si>
  <si>
    <t>Switzerland</t>
  </si>
  <si>
    <t>ICCWC activities and projects</t>
  </si>
  <si>
    <t>2K70</t>
  </si>
  <si>
    <t>Scientific Cooperation</t>
  </si>
  <si>
    <t>2K70</t>
  </si>
  <si>
    <t>Wildlife trade policy reviews</t>
  </si>
  <si>
    <t>Prunus Africana in Burundi</t>
  </si>
  <si>
    <t>2K70</t>
  </si>
  <si>
    <t>Assistance to Master's course</t>
  </si>
  <si>
    <t>Strenghtening implementation of new Parties</t>
  </si>
  <si>
    <t>2K70</t>
  </si>
  <si>
    <t>Australia</t>
  </si>
  <si>
    <t>Implementation of MIKE Phase III</t>
  </si>
  <si>
    <t>2J39/ 2J50/ 2J51</t>
  </si>
  <si>
    <t>MIKE in Asia (France)</t>
  </si>
  <si>
    <t>2K70</t>
  </si>
  <si>
    <t>Implementation of MIKES</t>
  </si>
  <si>
    <t>2L59</t>
  </si>
  <si>
    <t>European Commission</t>
  </si>
  <si>
    <t>Asian big cats</t>
  </si>
  <si>
    <t>2K70</t>
  </si>
  <si>
    <t>Control of Ivory trade</t>
  </si>
  <si>
    <t>2K70</t>
  </si>
  <si>
    <t>African and Asian Rhinoceros conservation</t>
  </si>
  <si>
    <t>2K70</t>
  </si>
  <si>
    <t>Wildlife Enforcement Network (WEN) support</t>
  </si>
  <si>
    <t>2K70</t>
  </si>
  <si>
    <t>NDF for freshwater turtles and tortoises</t>
  </si>
  <si>
    <t>2K70</t>
  </si>
  <si>
    <t xml:space="preserve">Malagasy ebonies and rosewood </t>
  </si>
  <si>
    <t>2K70</t>
  </si>
  <si>
    <t>NDF for snakes</t>
  </si>
  <si>
    <t>2K70</t>
  </si>
  <si>
    <t>Support to MA re national reports</t>
  </si>
  <si>
    <t>2K70</t>
  </si>
  <si>
    <t>Assessment of resolutions</t>
  </si>
  <si>
    <t>2K70</t>
  </si>
  <si>
    <t>CTA Translation tool</t>
  </si>
  <si>
    <t>2K70</t>
  </si>
  <si>
    <t>CITES and Livelihoods</t>
  </si>
  <si>
    <t>2K70</t>
  </si>
  <si>
    <t>CITES project from Sanderson Estate</t>
  </si>
  <si>
    <t>2K70</t>
  </si>
  <si>
    <t>Review of significant trade</t>
  </si>
  <si>
    <t>2K70</t>
  </si>
  <si>
    <t>ICCWC activities (Sweden)</t>
  </si>
  <si>
    <t>2K70</t>
  </si>
  <si>
    <t>MIKE in Southeast Asia (Japan and UK)</t>
  </si>
  <si>
    <t>2K70</t>
  </si>
  <si>
    <t>International Fund for Elephant Conservation</t>
  </si>
  <si>
    <t>MIKE in South Asia (USA)</t>
  </si>
  <si>
    <t>2K70</t>
  </si>
  <si>
    <t>United States of America</t>
  </si>
  <si>
    <t>Database optimization</t>
  </si>
  <si>
    <t>2K70</t>
  </si>
  <si>
    <t>Convention support</t>
  </si>
  <si>
    <t>2K70</t>
  </si>
  <si>
    <t>United States of America</t>
  </si>
  <si>
    <t>Turtles &amp; Tortoises (Doc. 16.109, 119 and 122)</t>
  </si>
  <si>
    <t>2K70</t>
  </si>
  <si>
    <t>Elephant Conservation Dec 14.78</t>
  </si>
  <si>
    <t>2K70</t>
  </si>
  <si>
    <t>Assistance to Parties subject RST trade suspension</t>
  </si>
  <si>
    <t>2K70</t>
  </si>
  <si>
    <t>United States of America</t>
  </si>
  <si>
    <t>Legislation assistance: Angola &amp; Mozambique</t>
  </si>
  <si>
    <t>2K70</t>
  </si>
  <si>
    <t>United Kingdom</t>
  </si>
  <si>
    <t>Management of an trade in Queen Conch</t>
  </si>
  <si>
    <t>2K70</t>
  </si>
  <si>
    <t>United Kingdom</t>
  </si>
  <si>
    <t>Total, Sub-contract component</t>
  </si>
  <si>
    <t>Meetings and training component</t>
  </si>
  <si>
    <t>Group Training</t>
  </si>
  <si>
    <t>Capacity-building workshop for MAs and SAs</t>
  </si>
  <si>
    <t>2K70</t>
  </si>
  <si>
    <t>Strengthening implementation capacity of developing countries</t>
  </si>
  <si>
    <t>2K70</t>
  </si>
  <si>
    <t>European Commission (final payment of project 2008-2013)</t>
  </si>
  <si>
    <t>Total, Training</t>
  </si>
  <si>
    <t>Meetings</t>
  </si>
  <si>
    <t>Sponsored Delegates Project</t>
  </si>
  <si>
    <t>2K70</t>
  </si>
  <si>
    <t>Asian Development Bank (ADB) for CoP16 in 2013</t>
  </si>
  <si>
    <t>Joint Animals &amp; Plats Committees meeting in Mexico, 28Apr - 8 May 2014</t>
  </si>
  <si>
    <t>2K70</t>
  </si>
  <si>
    <t>Mexico</t>
  </si>
  <si>
    <t>Animals Committee</t>
  </si>
  <si>
    <t>2K70</t>
  </si>
  <si>
    <t>Israel</t>
  </si>
  <si>
    <t>Plants Committee</t>
  </si>
  <si>
    <t>2K70</t>
  </si>
  <si>
    <t>Georgia</t>
  </si>
  <si>
    <t>Workshop on CITES control on trade in sharks</t>
  </si>
  <si>
    <t>2K70</t>
  </si>
  <si>
    <t>Workshop on operating controlled deliveries</t>
  </si>
  <si>
    <t>2K70</t>
  </si>
  <si>
    <t>United Kingdom</t>
  </si>
  <si>
    <t>Asian regional meeting</t>
  </si>
  <si>
    <t>2K70</t>
  </si>
  <si>
    <t>Workshop on Management of Agarwood</t>
  </si>
  <si>
    <t>2K70</t>
  </si>
  <si>
    <t>Introduction from the Sea WG</t>
  </si>
  <si>
    <t>2K70</t>
  </si>
  <si>
    <t>Expert workshop on demand reduction in Africa</t>
  </si>
  <si>
    <t>2K70</t>
  </si>
  <si>
    <t>United Kingdom</t>
  </si>
  <si>
    <t>Expert workshop on sustainable linvelihoods in A</t>
  </si>
  <si>
    <t>2K70</t>
  </si>
  <si>
    <t>United Kingdom</t>
  </si>
  <si>
    <t>Meeting of Advisory WG for the Review of Significant Trade (RST)</t>
  </si>
  <si>
    <t>2K70</t>
  </si>
  <si>
    <t>United States of America</t>
  </si>
  <si>
    <t>Total, Meetings</t>
  </si>
  <si>
    <t>Total, Training and meetings component</t>
  </si>
  <si>
    <t>Equipment and premises component</t>
  </si>
  <si>
    <t>Non-expendable Equipment</t>
  </si>
  <si>
    <t>Non-expendable equipment (lap-tops)</t>
  </si>
  <si>
    <t>2K70</t>
  </si>
  <si>
    <t>Total, Non-expendable equipment</t>
  </si>
  <si>
    <t>Miscellaneous component</t>
  </si>
  <si>
    <t>Reporting costs</t>
  </si>
  <si>
    <t>Capacity-building training materials</t>
  </si>
  <si>
    <t>2K70</t>
  </si>
  <si>
    <t>Web development on new party support</t>
  </si>
  <si>
    <t>2K70</t>
  </si>
  <si>
    <t>E-learning tools</t>
  </si>
  <si>
    <t>2K70</t>
  </si>
  <si>
    <t>CITES Identification Manual</t>
  </si>
  <si>
    <t>2K70</t>
  </si>
  <si>
    <t>Netherlands</t>
  </si>
  <si>
    <t>Anti-money laundering &amp; asset recovery manual</t>
  </si>
  <si>
    <t>2K70</t>
  </si>
  <si>
    <t>United Kingdom</t>
  </si>
  <si>
    <t>Security stamps</t>
  </si>
  <si>
    <t>2K70</t>
  </si>
  <si>
    <t>Timber videos</t>
  </si>
  <si>
    <t>2K70</t>
  </si>
  <si>
    <t>International Tropical Timber organization (ITTO)</t>
  </si>
  <si>
    <t>Time Bank Support for website</t>
  </si>
  <si>
    <t>2K70</t>
  </si>
  <si>
    <t>Registration database enhancement</t>
  </si>
  <si>
    <t>2K70</t>
  </si>
  <si>
    <t>Data run on periodic Review of App I &amp; II species</t>
  </si>
  <si>
    <t>2K70</t>
  </si>
  <si>
    <t>United States of America</t>
  </si>
  <si>
    <t>National Legislation Project</t>
  </si>
  <si>
    <t>2K70</t>
  </si>
  <si>
    <t>UK</t>
  </si>
  <si>
    <t>Total, Reporting costs</t>
  </si>
  <si>
    <t>Sundry</t>
  </si>
  <si>
    <t>CoP logistics and miscelleaneous</t>
  </si>
  <si>
    <t>2K70</t>
  </si>
  <si>
    <t>Registration fees</t>
  </si>
  <si>
    <t>2K70</t>
  </si>
  <si>
    <t>Total, Sundry</t>
  </si>
  <si>
    <t>World Wildlife Day</t>
  </si>
  <si>
    <t>2K70</t>
  </si>
  <si>
    <t>United Kingdom, Maleras Glasbruk (Sweden), Switzerland</t>
  </si>
  <si>
    <t>Maleras Glasbruk (Sweden)</t>
  </si>
  <si>
    <t>CITES anniversary</t>
  </si>
  <si>
    <t>2K70</t>
  </si>
  <si>
    <t>Total</t>
  </si>
  <si>
    <t>Total, Miscellaneous component</t>
  </si>
  <si>
    <t>Total direct costs</t>
  </si>
  <si>
    <t>Programme Support Costs (13%)</t>
  </si>
  <si>
    <t>TOTAL COSTS</t>
  </si>
  <si>
    <t>Annex 4</t>
  </si>
  <si>
    <t>CITES TRUST FUND</t>
  </si>
  <si>
    <t>SCALE OF CONTRIBUTIONS  FOR THE TRIENNIUM 2014-2016</t>
  </si>
  <si>
    <t>(in US dollars)</t>
  </si>
  <si>
    <t xml:space="preserve"> </t>
  </si>
  <si>
    <t>Party</t>
  </si>
  <si>
    <t>UN scale %*</t>
  </si>
  <si>
    <t>CITES
adjusted scale %</t>
  </si>
  <si>
    <t>2014-2016 total contributions</t>
  </si>
  <si>
    <t>Annual average contributions 2014-2016</t>
  </si>
  <si>
    <t>Annual average contributions 2012-2013</t>
  </si>
  <si>
    <t>Annual increase in contributions</t>
  </si>
  <si>
    <t>Afghanistan</t>
  </si>
  <si>
    <t>Afganistán</t>
  </si>
  <si>
    <t>Afghanistan</t>
  </si>
  <si>
    <t>Albania</t>
  </si>
  <si>
    <t>Albania</t>
  </si>
  <si>
    <t>Albanie</t>
  </si>
  <si>
    <t>Algeria</t>
  </si>
  <si>
    <t>Argelia</t>
  </si>
  <si>
    <t>Algérie</t>
  </si>
  <si>
    <t>Antigua and Barbuda</t>
  </si>
  <si>
    <t>Antigua y Barbuda</t>
  </si>
  <si>
    <t>Antigua-et-Barbuda</t>
  </si>
  <si>
    <t>Argentina</t>
  </si>
  <si>
    <t>Argentina</t>
  </si>
  <si>
    <t>Argentine</t>
  </si>
  <si>
    <t>Armenia</t>
  </si>
  <si>
    <t>Armenia</t>
  </si>
  <si>
    <t>Arménie</t>
  </si>
  <si>
    <t>Australia</t>
  </si>
  <si>
    <t>Australia</t>
  </si>
  <si>
    <t>Australie</t>
  </si>
  <si>
    <t>Austria</t>
  </si>
  <si>
    <t>Austria</t>
  </si>
  <si>
    <t>Autriche</t>
  </si>
  <si>
    <t>Azerbaijan</t>
  </si>
  <si>
    <t>Azerbaiyán</t>
  </si>
  <si>
    <t>Azerbaïdjan</t>
  </si>
  <si>
    <t>Bahamas</t>
  </si>
  <si>
    <t>Bahamas</t>
  </si>
  <si>
    <t>Bahamas</t>
  </si>
  <si>
    <t>Bahrain</t>
  </si>
  <si>
    <t>Bangladesh</t>
  </si>
  <si>
    <t>Bangladesh</t>
  </si>
  <si>
    <t>Bangladesh</t>
  </si>
  <si>
    <t>Barbados</t>
  </si>
  <si>
    <t>Barbados</t>
  </si>
  <si>
    <t>Barbade</t>
  </si>
  <si>
    <t>Belarus</t>
  </si>
  <si>
    <t>Belarús</t>
  </si>
  <si>
    <t>Bélarus</t>
  </si>
  <si>
    <t>Belgium</t>
  </si>
  <si>
    <t>Bélgica</t>
  </si>
  <si>
    <t>Belgique</t>
  </si>
  <si>
    <t>Belize</t>
  </si>
  <si>
    <t>Belice</t>
  </si>
  <si>
    <t>Belize</t>
  </si>
  <si>
    <t>Benin</t>
  </si>
  <si>
    <t>Benin</t>
  </si>
  <si>
    <t>Bénin</t>
  </si>
  <si>
    <t>Bhutan</t>
  </si>
  <si>
    <t>Bhutan</t>
  </si>
  <si>
    <t>Bhutan</t>
  </si>
  <si>
    <t>Bolivia (Plurinational State of)</t>
  </si>
  <si>
    <t xml:space="preserve">Bolivia </t>
  </si>
  <si>
    <t>Bolivie</t>
  </si>
  <si>
    <t>Bosnia and Herzegovina</t>
  </si>
  <si>
    <t>Bosnia y Herzegovina</t>
  </si>
  <si>
    <t>Bosnie-Herzégovine</t>
  </si>
  <si>
    <t>Botswana</t>
  </si>
  <si>
    <t>Botswana</t>
  </si>
  <si>
    <t>Botswana</t>
  </si>
  <si>
    <t>Brazil</t>
  </si>
  <si>
    <t>Brasil</t>
  </si>
  <si>
    <t>Brésil</t>
  </si>
  <si>
    <t>Brunei Darussalam</t>
  </si>
  <si>
    <t>Brunei Darussalam</t>
  </si>
  <si>
    <t>Brunéi Darussalam</t>
  </si>
  <si>
    <t>Bulgaria</t>
  </si>
  <si>
    <t>Bulgaria</t>
  </si>
  <si>
    <t>Bulgarie</t>
  </si>
  <si>
    <t>Burkina Faso</t>
  </si>
  <si>
    <t>Burkina Faso</t>
  </si>
  <si>
    <t>Burkina Faso</t>
  </si>
  <si>
    <t>Burundi</t>
  </si>
  <si>
    <t>Burundi</t>
  </si>
  <si>
    <t>Burundi</t>
  </si>
  <si>
    <t>Cambodia</t>
  </si>
  <si>
    <t>Camboya</t>
  </si>
  <si>
    <t>Cambodge</t>
  </si>
  <si>
    <t>Cameroon</t>
  </si>
  <si>
    <t>Camerún</t>
  </si>
  <si>
    <t>Cameroun</t>
  </si>
  <si>
    <t>Canada</t>
  </si>
  <si>
    <t>Canadá</t>
  </si>
  <si>
    <t>Canada</t>
  </si>
  <si>
    <t>Cape Verde</t>
  </si>
  <si>
    <t>Cabo Verde</t>
  </si>
  <si>
    <t>Cap-Vert</t>
  </si>
  <si>
    <t>Central African Republic</t>
  </si>
  <si>
    <t>República Centroafricana</t>
  </si>
  <si>
    <t>République centrafricaine</t>
  </si>
  <si>
    <t>Chad</t>
  </si>
  <si>
    <t>Chad</t>
  </si>
  <si>
    <t>Tchad</t>
  </si>
  <si>
    <t>Chile</t>
  </si>
  <si>
    <t>Chile</t>
  </si>
  <si>
    <t>Chili</t>
  </si>
  <si>
    <t>China</t>
  </si>
  <si>
    <t>China</t>
  </si>
  <si>
    <t>Chine</t>
  </si>
  <si>
    <t>Colombia</t>
  </si>
  <si>
    <t>Colombia</t>
  </si>
  <si>
    <t>Colombie</t>
  </si>
  <si>
    <t>Comoros</t>
  </si>
  <si>
    <t>Comoras</t>
  </si>
  <si>
    <t>Comores</t>
  </si>
  <si>
    <t>Congo</t>
  </si>
  <si>
    <t>Congo</t>
  </si>
  <si>
    <t>Congo</t>
  </si>
  <si>
    <t>Costa Rica</t>
  </si>
  <si>
    <t>Costa Rica</t>
  </si>
  <si>
    <t>Costa Rica</t>
  </si>
  <si>
    <t>Côte d'Ivoire</t>
  </si>
  <si>
    <t>Côte d'Ivoire</t>
  </si>
  <si>
    <t>Côte d'Ivoire</t>
  </si>
  <si>
    <t>Croatia</t>
  </si>
  <si>
    <t>Croacia</t>
  </si>
  <si>
    <t>Croatie</t>
  </si>
  <si>
    <t>Cuba</t>
  </si>
  <si>
    <t>Cuba</t>
  </si>
  <si>
    <t>Cuba</t>
  </si>
  <si>
    <t>Cyprus</t>
  </si>
  <si>
    <t>Chipre</t>
  </si>
  <si>
    <t>Chypre</t>
  </si>
  <si>
    <t>Czech Republic</t>
  </si>
  <si>
    <t>República Checa</t>
  </si>
  <si>
    <t>République tchèque</t>
  </si>
  <si>
    <t>Democratic Republic of the Congo</t>
  </si>
  <si>
    <t>República Democrática del Congo</t>
  </si>
  <si>
    <t>République démocratique du Congo</t>
  </si>
  <si>
    <t>Denmark</t>
  </si>
  <si>
    <t>Dinamarca</t>
  </si>
  <si>
    <t>Danemark</t>
  </si>
  <si>
    <t>Djibouti</t>
  </si>
  <si>
    <t>Djibouti</t>
  </si>
  <si>
    <t>Djibouti</t>
  </si>
  <si>
    <t>Dominica</t>
  </si>
  <si>
    <t>Dominica</t>
  </si>
  <si>
    <t>Dominique</t>
  </si>
  <si>
    <t>Dominican Republic</t>
  </si>
  <si>
    <t>República Dominicana</t>
  </si>
  <si>
    <t>République dominicaine</t>
  </si>
  <si>
    <t>Ecuador</t>
  </si>
  <si>
    <t>Ecuador</t>
  </si>
  <si>
    <t>Equateur</t>
  </si>
  <si>
    <t>Egypt</t>
  </si>
  <si>
    <t>Egipto</t>
  </si>
  <si>
    <t>Egypte</t>
  </si>
  <si>
    <t>El Salvador</t>
  </si>
  <si>
    <t>El Salvador</t>
  </si>
  <si>
    <t>El Salvador</t>
  </si>
  <si>
    <t>Equatorial Guinea</t>
  </si>
  <si>
    <t>Guinea Ecuatorial</t>
  </si>
  <si>
    <t>Guinée équatoriale</t>
  </si>
  <si>
    <t>Eritrea</t>
  </si>
  <si>
    <t>Eritrea</t>
  </si>
  <si>
    <t>Erythrée</t>
  </si>
  <si>
    <t>Estonia</t>
  </si>
  <si>
    <t>Estonia</t>
  </si>
  <si>
    <t>Estonie</t>
  </si>
  <si>
    <t>Contribution for 2015:</t>
  </si>
  <si>
    <t>Ethiopia</t>
  </si>
  <si>
    <t>Etiopía</t>
  </si>
  <si>
    <t>Ethiopie</t>
  </si>
  <si>
    <t>European Union</t>
  </si>
  <si>
    <t xml:space="preserve">entry into force 8 July 2015: </t>
  </si>
  <si>
    <t>Fiji</t>
  </si>
  <si>
    <t>Fiji</t>
  </si>
  <si>
    <t>Fidji</t>
  </si>
  <si>
    <t>Finland</t>
  </si>
  <si>
    <t>Finlandia</t>
  </si>
  <si>
    <t>Finlande</t>
  </si>
  <si>
    <t>France</t>
  </si>
  <si>
    <t>Francia</t>
  </si>
  <si>
    <t>France</t>
  </si>
  <si>
    <t>Gabon</t>
  </si>
  <si>
    <t>Gabón</t>
  </si>
  <si>
    <t>Gabon</t>
  </si>
  <si>
    <t>Gambia</t>
  </si>
  <si>
    <t>Gambia</t>
  </si>
  <si>
    <t>Gambie</t>
  </si>
  <si>
    <t>Georgia</t>
  </si>
  <si>
    <t>Georgia</t>
  </si>
  <si>
    <t>Géorgie</t>
  </si>
  <si>
    <t>Germany</t>
  </si>
  <si>
    <t>Alemania</t>
  </si>
  <si>
    <t>Allemagne</t>
  </si>
  <si>
    <t>Ghana</t>
  </si>
  <si>
    <t>Ghana</t>
  </si>
  <si>
    <t>Ghana</t>
  </si>
  <si>
    <t>Greece</t>
  </si>
  <si>
    <t>Grecia</t>
  </si>
  <si>
    <t>Grèce</t>
  </si>
  <si>
    <t>Grenada</t>
  </si>
  <si>
    <t>Granada</t>
  </si>
  <si>
    <t>Grenade</t>
  </si>
  <si>
    <t>Guatemala</t>
  </si>
  <si>
    <t>Guatemala</t>
  </si>
  <si>
    <t>Guatemala</t>
  </si>
  <si>
    <t>Guinea</t>
  </si>
  <si>
    <t>Guinea</t>
  </si>
  <si>
    <t>Guinée</t>
  </si>
  <si>
    <t>Guinea-Bissau</t>
  </si>
  <si>
    <t>Guinea-Bissau</t>
  </si>
  <si>
    <t>Guinée-Bissau</t>
  </si>
  <si>
    <t>Guyana</t>
  </si>
  <si>
    <t>Guyana</t>
  </si>
  <si>
    <t>Guyana</t>
  </si>
  <si>
    <t>Honduras</t>
  </si>
  <si>
    <t>Honduras</t>
  </si>
  <si>
    <t>Honduras</t>
  </si>
  <si>
    <t>Hungary</t>
  </si>
  <si>
    <t>Hungría</t>
  </si>
  <si>
    <t>Hongrie</t>
  </si>
  <si>
    <t>Iceland</t>
  </si>
  <si>
    <t>Islandia</t>
  </si>
  <si>
    <t>Islande</t>
  </si>
  <si>
    <t>India</t>
  </si>
  <si>
    <t>India</t>
  </si>
  <si>
    <t>Inde</t>
  </si>
  <si>
    <t>Indonesia</t>
  </si>
  <si>
    <t>Indonesia</t>
  </si>
  <si>
    <t>Indonésie</t>
  </si>
  <si>
    <t>Iran (Islamic Republic of)</t>
  </si>
  <si>
    <t>Irán (República Islámica del)</t>
  </si>
  <si>
    <t>Iran (République islamique d')</t>
  </si>
  <si>
    <t>Ireland</t>
  </si>
  <si>
    <t>Irlanda</t>
  </si>
  <si>
    <t>Irlande</t>
  </si>
  <si>
    <t>Israel</t>
  </si>
  <si>
    <t>Israel</t>
  </si>
  <si>
    <t>Israël</t>
  </si>
  <si>
    <t>Italy</t>
  </si>
  <si>
    <t>Italia</t>
  </si>
  <si>
    <t>Italie</t>
  </si>
  <si>
    <t>Jamaica</t>
  </si>
  <si>
    <t>Jamaica</t>
  </si>
  <si>
    <t>Jamaïque</t>
  </si>
  <si>
    <t>Japan</t>
  </si>
  <si>
    <t>Japón</t>
  </si>
  <si>
    <t>Japon</t>
  </si>
  <si>
    <t>Jordan</t>
  </si>
  <si>
    <t>Jordania</t>
  </si>
  <si>
    <t>Jordanie</t>
  </si>
  <si>
    <t>Kazakhstan</t>
  </si>
  <si>
    <t>Kazajstán</t>
  </si>
  <si>
    <t>Kazakhstan</t>
  </si>
  <si>
    <t>Kenya</t>
  </si>
  <si>
    <t>Kenya</t>
  </si>
  <si>
    <t>Kenya</t>
  </si>
  <si>
    <t>Kuwait</t>
  </si>
  <si>
    <t>Kuwait</t>
  </si>
  <si>
    <t>Koweït</t>
  </si>
  <si>
    <t>Kyrgyzstan</t>
  </si>
  <si>
    <t>Kirguistán</t>
  </si>
  <si>
    <t>Kirghizistan</t>
  </si>
  <si>
    <t>Lao People's Democratic Republic</t>
  </si>
  <si>
    <t>República Democrática Popular Lao</t>
  </si>
  <si>
    <t>République démocratique populaire lao</t>
  </si>
  <si>
    <t>Latvia</t>
  </si>
  <si>
    <t>Letonia</t>
  </si>
  <si>
    <t>Lettonie</t>
  </si>
  <si>
    <t>Lebanon</t>
  </si>
  <si>
    <t>Lesotho</t>
  </si>
  <si>
    <t>Lesotho</t>
  </si>
  <si>
    <t>Lesotho</t>
  </si>
  <si>
    <t>Liberia</t>
  </si>
  <si>
    <t>Liberia</t>
  </si>
  <si>
    <t>Libéria</t>
  </si>
  <si>
    <t>Libya</t>
  </si>
  <si>
    <t>Jamahiriya Árabe Libia</t>
  </si>
  <si>
    <t>Jamahiriya arabe libyenne</t>
  </si>
  <si>
    <t>Liechtenstein</t>
  </si>
  <si>
    <t>Liechtenstein</t>
  </si>
  <si>
    <t>Liechtenstein</t>
  </si>
  <si>
    <t>Lithuania</t>
  </si>
  <si>
    <t>Lituania</t>
  </si>
  <si>
    <t>Lituanie</t>
  </si>
  <si>
    <t>Luxembourg</t>
  </si>
  <si>
    <t>Luxemburgo</t>
  </si>
  <si>
    <t>Luxembourg</t>
  </si>
  <si>
    <t>Madagascar</t>
  </si>
  <si>
    <t>Madagascar</t>
  </si>
  <si>
    <t>Madagascar</t>
  </si>
  <si>
    <t>Malawi</t>
  </si>
  <si>
    <t>Malawi</t>
  </si>
  <si>
    <t>Malawi</t>
  </si>
  <si>
    <t>Malaysia</t>
  </si>
  <si>
    <t>Malasia</t>
  </si>
  <si>
    <t>Malaisie</t>
  </si>
  <si>
    <t>Mali</t>
  </si>
  <si>
    <t>Malí</t>
  </si>
  <si>
    <t>Mali</t>
  </si>
  <si>
    <t>Maldives</t>
  </si>
  <si>
    <t>Malta</t>
  </si>
  <si>
    <t>Malta</t>
  </si>
  <si>
    <t>Malte</t>
  </si>
  <si>
    <t>Mauritania</t>
  </si>
  <si>
    <t>Mauritania</t>
  </si>
  <si>
    <t>Mauritanie</t>
  </si>
  <si>
    <t>Mauritius</t>
  </si>
  <si>
    <t>Mauricio</t>
  </si>
  <si>
    <t>Maurice</t>
  </si>
  <si>
    <t>Mexico</t>
  </si>
  <si>
    <t>México</t>
  </si>
  <si>
    <t>Mexique</t>
  </si>
  <si>
    <t>Monaco</t>
  </si>
  <si>
    <t>Mónaco</t>
  </si>
  <si>
    <t>Monaco</t>
  </si>
  <si>
    <t>Mongolia</t>
  </si>
  <si>
    <t>Mongolia</t>
  </si>
  <si>
    <t>Mongolie</t>
  </si>
  <si>
    <t>Montenegro</t>
  </si>
  <si>
    <t>Montenegro</t>
  </si>
  <si>
    <t>Monténégro</t>
  </si>
  <si>
    <t>Morocco</t>
  </si>
  <si>
    <t>Marruecos</t>
  </si>
  <si>
    <t>Maroc</t>
  </si>
  <si>
    <t>Mozambique</t>
  </si>
  <si>
    <t>Mozambique</t>
  </si>
  <si>
    <t>Mozambique</t>
  </si>
  <si>
    <t>Myanmar</t>
  </si>
  <si>
    <t>Myanmar</t>
  </si>
  <si>
    <t>Myanmar</t>
  </si>
  <si>
    <t>Namibia</t>
  </si>
  <si>
    <t>Namibia</t>
  </si>
  <si>
    <t>Namibie</t>
  </si>
  <si>
    <t>Nepal</t>
  </si>
  <si>
    <t>Nepal</t>
  </si>
  <si>
    <t>Népal</t>
  </si>
  <si>
    <t>Netherlands</t>
  </si>
  <si>
    <t>Países Bajos</t>
  </si>
  <si>
    <t>Pays-Bas</t>
  </si>
  <si>
    <t>New Zealand</t>
  </si>
  <si>
    <t>Nueva Zelandia</t>
  </si>
  <si>
    <t>Nouvelle-Zélande</t>
  </si>
  <si>
    <t>Nicaragua</t>
  </si>
  <si>
    <t>Nicaragua</t>
  </si>
  <si>
    <t>Nicaragua</t>
  </si>
  <si>
    <t>Niger</t>
  </si>
  <si>
    <t>Níger</t>
  </si>
  <si>
    <t>Niger</t>
  </si>
  <si>
    <t>Nigeria</t>
  </si>
  <si>
    <t>Nigeria</t>
  </si>
  <si>
    <t>Nigéria</t>
  </si>
  <si>
    <t>Norway</t>
  </si>
  <si>
    <t>Noruega</t>
  </si>
  <si>
    <t>Norvège</t>
  </si>
  <si>
    <t>Oman</t>
  </si>
  <si>
    <t>Omán</t>
  </si>
  <si>
    <t>Oman</t>
  </si>
  <si>
    <t>Pakistan</t>
  </si>
  <si>
    <t>Pakistán</t>
  </si>
  <si>
    <t>Pakistan</t>
  </si>
  <si>
    <t>Palau</t>
  </si>
  <si>
    <t>Palau</t>
  </si>
  <si>
    <t>Palaos</t>
  </si>
  <si>
    <t>Panama</t>
  </si>
  <si>
    <t>Panamá</t>
  </si>
  <si>
    <t>Panama</t>
  </si>
  <si>
    <t>Papua New Guinea</t>
  </si>
  <si>
    <t>Papua Nueva Guinea</t>
  </si>
  <si>
    <t>Papouasie-Nouvelle-Guinée</t>
  </si>
  <si>
    <t>Paraguay</t>
  </si>
  <si>
    <t>Paraguay</t>
  </si>
  <si>
    <t>Paraguay</t>
  </si>
  <si>
    <t>Peru</t>
  </si>
  <si>
    <t>Perú</t>
  </si>
  <si>
    <t>Pérou</t>
  </si>
  <si>
    <t>Philippines</t>
  </si>
  <si>
    <t>Filipinas</t>
  </si>
  <si>
    <t>Philippines</t>
  </si>
  <si>
    <t>Poland</t>
  </si>
  <si>
    <t>Polonia</t>
  </si>
  <si>
    <t>Pologne</t>
  </si>
  <si>
    <t>Portugal</t>
  </si>
  <si>
    <t>Portugal</t>
  </si>
  <si>
    <t>Portugal</t>
  </si>
  <si>
    <t>Qatar</t>
  </si>
  <si>
    <t>Qatar</t>
  </si>
  <si>
    <t>Qatar</t>
  </si>
  <si>
    <t>Republic of Korea</t>
  </si>
  <si>
    <t>República de Corea</t>
  </si>
  <si>
    <t>République de Corée</t>
  </si>
  <si>
    <t>Republic of Moldova</t>
  </si>
  <si>
    <t>Moldova</t>
  </si>
  <si>
    <t>Moldova</t>
  </si>
  <si>
    <t>Romania</t>
  </si>
  <si>
    <t>Rumania</t>
  </si>
  <si>
    <t>Roumanie</t>
  </si>
  <si>
    <t>Russian Federation</t>
  </si>
  <si>
    <t>Federación de Rusia</t>
  </si>
  <si>
    <t>Fédération de Russie</t>
  </si>
  <si>
    <t>Rwanda</t>
  </si>
  <si>
    <t>Rwanda</t>
  </si>
  <si>
    <t>Rwanda</t>
  </si>
  <si>
    <t>Saint Kitts and Nevis</t>
  </si>
  <si>
    <t>Saint Kitts y Nevis</t>
  </si>
  <si>
    <t>Saint-Kitts-et-Nevis</t>
  </si>
  <si>
    <t>Saint Lucia</t>
  </si>
  <si>
    <t>Santa Lucía</t>
  </si>
  <si>
    <t>Sainte-Lucie</t>
  </si>
  <si>
    <t>Saint Vincent and the Grenadines</t>
  </si>
  <si>
    <t>San Vicente y las Granadinas</t>
  </si>
  <si>
    <t>Saint-Vincent-et-les Grenadines</t>
  </si>
  <si>
    <t>Samoa</t>
  </si>
  <si>
    <t>Samoa</t>
  </si>
  <si>
    <t>Samoa</t>
  </si>
  <si>
    <t>San Marino</t>
  </si>
  <si>
    <t>San Marino</t>
  </si>
  <si>
    <t>Saint-Marin</t>
  </si>
  <si>
    <t>Sao Tome and Principe</t>
  </si>
  <si>
    <t>Santo Tomé y Príncipe</t>
  </si>
  <si>
    <t>Sao-Tomé-et-Principe</t>
  </si>
  <si>
    <t>Saudi Arabia</t>
  </si>
  <si>
    <t>Arabia Saudita</t>
  </si>
  <si>
    <t>Arabie saoudite</t>
  </si>
  <si>
    <t>Senegal</t>
  </si>
  <si>
    <t>Senegal</t>
  </si>
  <si>
    <t>Sénégal</t>
  </si>
  <si>
    <t xml:space="preserve">Serbia </t>
  </si>
  <si>
    <t>Serbia</t>
  </si>
  <si>
    <t>Serbie</t>
  </si>
  <si>
    <t>Seychelles</t>
  </si>
  <si>
    <t>Seychelles</t>
  </si>
  <si>
    <t>Seychelles</t>
  </si>
  <si>
    <t>Sierra Leone</t>
  </si>
  <si>
    <t>Sierra Leona</t>
  </si>
  <si>
    <t>Sierra Leone</t>
  </si>
  <si>
    <t>Singapore</t>
  </si>
  <si>
    <t>Singapur</t>
  </si>
  <si>
    <t>Singapour</t>
  </si>
  <si>
    <t>Slovakia</t>
  </si>
  <si>
    <t>Eslovaquia</t>
  </si>
  <si>
    <t>Slovaquie</t>
  </si>
  <si>
    <t>Slovenia</t>
  </si>
  <si>
    <t>Eslovenia</t>
  </si>
  <si>
    <t>Slovénie</t>
  </si>
  <si>
    <t>Solomon Islands</t>
  </si>
  <si>
    <t>Islas Salomón</t>
  </si>
  <si>
    <t>Iles Salomon</t>
  </si>
  <si>
    <t>Somalia</t>
  </si>
  <si>
    <t>Somalia</t>
  </si>
  <si>
    <t>Somalie</t>
  </si>
  <si>
    <t>South Africa</t>
  </si>
  <si>
    <t>Sudáfrica</t>
  </si>
  <si>
    <t>Afrique du Sud</t>
  </si>
  <si>
    <t>Spain</t>
  </si>
  <si>
    <t>España</t>
  </si>
  <si>
    <t>Espagne</t>
  </si>
  <si>
    <t>Sri Lanka</t>
  </si>
  <si>
    <t>Sri Lanka</t>
  </si>
  <si>
    <t>Sri Lanka</t>
  </si>
  <si>
    <t>Sudan</t>
  </si>
  <si>
    <t>Sudán</t>
  </si>
  <si>
    <t>Soudan</t>
  </si>
  <si>
    <t>Suriname</t>
  </si>
  <si>
    <t>Suriname</t>
  </si>
  <si>
    <t>Suriname</t>
  </si>
  <si>
    <t>Swaziland</t>
  </si>
  <si>
    <t>Swazilandia</t>
  </si>
  <si>
    <t>Swaziland</t>
  </si>
  <si>
    <t>Sweden</t>
  </si>
  <si>
    <t>Suecia</t>
  </si>
  <si>
    <t>Suède</t>
  </si>
  <si>
    <t xml:space="preserve">Switzerland </t>
  </si>
  <si>
    <t>Suiza</t>
  </si>
  <si>
    <t>Suisse</t>
  </si>
  <si>
    <t>Syrian Arab Rebublic</t>
  </si>
  <si>
    <t>República Árabe Siria</t>
  </si>
  <si>
    <t>République arabe syrienne</t>
  </si>
  <si>
    <t>Thailand</t>
  </si>
  <si>
    <t>Tailandia</t>
  </si>
  <si>
    <t>Thaïlande</t>
  </si>
  <si>
    <t>The former Yugoslav Republic of Macedonia</t>
  </si>
  <si>
    <t>La ex República Yugoslava de Macedonia</t>
  </si>
  <si>
    <t>ex-République yougoslave de Macédoine</t>
  </si>
  <si>
    <t>Togo</t>
  </si>
  <si>
    <t>Togo</t>
  </si>
  <si>
    <t>Togo</t>
  </si>
  <si>
    <t>Trinidad and Tobago</t>
  </si>
  <si>
    <t>Trinidad y Tabago</t>
  </si>
  <si>
    <t>Trinité-et-Tobago</t>
  </si>
  <si>
    <t>Tunisia</t>
  </si>
  <si>
    <t>Túnez</t>
  </si>
  <si>
    <t>Tunisie</t>
  </si>
  <si>
    <t>Turkey</t>
  </si>
  <si>
    <t>Turquía</t>
  </si>
  <si>
    <t>Turquie</t>
  </si>
  <si>
    <t>Uganda</t>
  </si>
  <si>
    <t>Uganda</t>
  </si>
  <si>
    <t>Ouganda</t>
  </si>
  <si>
    <t>Ukraine</t>
  </si>
  <si>
    <t>Ucrania</t>
  </si>
  <si>
    <t>Ukraine</t>
  </si>
  <si>
    <t>United Arab Emirates</t>
  </si>
  <si>
    <t>Emiratos Árabes Unidos</t>
  </si>
  <si>
    <t>Emirats arabes unis</t>
  </si>
  <si>
    <t>United Kingdom of Great Britain and Northern Ireland</t>
  </si>
  <si>
    <t>Reino Unido</t>
  </si>
  <si>
    <t>Royaume-Uni</t>
  </si>
  <si>
    <t>United Republic of Tanzania</t>
  </si>
  <si>
    <t>República Unida de Tanzanía</t>
  </si>
  <si>
    <t>République-Unie de Tanzanie</t>
  </si>
  <si>
    <t>United States of America</t>
  </si>
  <si>
    <t>Estados Unidos de América</t>
  </si>
  <si>
    <t>Etats-Unis d'Amérique</t>
  </si>
  <si>
    <t>Uruguay</t>
  </si>
  <si>
    <t>Uruguay</t>
  </si>
  <si>
    <t>Uruguay</t>
  </si>
  <si>
    <t>Uzbekistan</t>
  </si>
  <si>
    <t>Uzbekistán</t>
  </si>
  <si>
    <t>Ouzbékistan</t>
  </si>
  <si>
    <t>Vanuatu</t>
  </si>
  <si>
    <t>Vanuatu</t>
  </si>
  <si>
    <t>Vanuatu</t>
  </si>
  <si>
    <t>Venezuela (Bolivarian Republic of)</t>
  </si>
  <si>
    <t>Venezuela (República
bolivariana de)</t>
  </si>
  <si>
    <t>Venezuela (République
bolivarienne du)</t>
  </si>
  <si>
    <t>Viet Nam</t>
  </si>
  <si>
    <t>Viet Nam</t>
  </si>
  <si>
    <t>Viet Nam</t>
  </si>
  <si>
    <t>Yemen</t>
  </si>
  <si>
    <t>Yemen</t>
  </si>
  <si>
    <t>Yémen</t>
  </si>
  <si>
    <t>Zambia</t>
  </si>
  <si>
    <t>Zambia</t>
  </si>
  <si>
    <t>Zambie</t>
  </si>
  <si>
    <t>Zimbabwe</t>
  </si>
  <si>
    <t>Zimbabwe</t>
  </si>
  <si>
    <t>Zimbabwe</t>
  </si>
  <si>
    <t>Total</t>
  </si>
  <si>
    <t>Total</t>
  </si>
  <si>
    <t>Total</t>
  </si>
  <si>
    <t>Total budget:</t>
  </si>
  <si>
    <t>EU portion of 2015</t>
  </si>
  <si>
    <t>TOTAL</t>
  </si>
  <si>
    <r>
      <t>*  The UN scale is based on Resolution A/Res/67/238 on the S</t>
    </r>
    <r>
      <rPr>
        <i/>
        <sz val="10"/>
        <rFont val="Arial"/>
        <family val="2"/>
      </rPr>
      <t>cale of assessments for the apportionment of the expenses of the United Nations</t>
    </r>
    <r>
      <rPr>
        <sz val="10"/>
        <rFont val="Arial"/>
        <family val="2"/>
      </rPr>
      <t xml:space="preserve"> adopted by the General Assembly on 24 December 2012</t>
    </r>
  </si>
  <si>
    <t>UN standard salary costs used in calculating staff costs for the triennium 2014-2016</t>
  </si>
  <si>
    <t>Staff category and level</t>
  </si>
  <si>
    <t>2013*</t>
  </si>
  <si>
    <t>2014**</t>
  </si>
  <si>
    <t>2015**</t>
  </si>
  <si>
    <t>2016**</t>
  </si>
  <si>
    <t>2016*</t>
  </si>
  <si>
    <t>2017**</t>
  </si>
  <si>
    <t>2018**</t>
  </si>
  <si>
    <t>2019**</t>
  </si>
  <si>
    <t>A.</t>
  </si>
  <si>
    <t>Professional category</t>
  </si>
  <si>
    <t>D-2</t>
  </si>
  <si>
    <t>D-1</t>
  </si>
  <si>
    <t>P-5</t>
  </si>
  <si>
    <t>P-4</t>
  </si>
  <si>
    <t>P-3</t>
  </si>
  <si>
    <t>P-2</t>
  </si>
  <si>
    <t>B.</t>
  </si>
  <si>
    <t>General Service category</t>
  </si>
  <si>
    <t>*</t>
  </si>
  <si>
    <t xml:space="preserve">2013 UN Standard Salary Costs for Geneva Version 11. </t>
  </si>
  <si>
    <t>**</t>
  </si>
  <si>
    <t>An increment of 4 % per annum of the 2013 UN standard salary costs was used to calculate the staff costs in 2014-2016. The increase in the staff costs does not reflect an increase in staff salaries and is meant to buffer the impact of inflation and fluctuation of the exchange rates both of which are incorporated in the UN standard salary costs.</t>
  </si>
  <si>
    <t>*</t>
  </si>
  <si>
    <t>2016 UN Standard Salary Costs for Geneva Version 2 dated 3 March 2015 (total amount minus staff assessment)</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</si>
</sst>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43" formatCode="_(* #,##0.00_);_(* \(#,##0.00\);_(* &quot;-&quot;??_);_(@_)"/>
    <numFmt numFmtId="164" formatCode="_-* #,##0_-;\-* #,##0_-;_-* &quot;-&quot;_-;_-@_-"/>
    <numFmt numFmtId="165" formatCode="_-* #,##0.00_-;\-* #,##0.00_-;_-* &quot;-&quot;??_-;_-@_-"/>
    <numFmt numFmtId="166" formatCode="_-* #,##0_-;\-* #,##0_-;_-* &quot;-&quot;??_-;_-@_-"/>
    <numFmt numFmtId="167" formatCode="_(* #,##0_);_(* \(#,##0\);_(* &quot;-&quot;??_);_(@_)"/>
    <numFmt numFmtId="168" formatCode="#,##0.0000"/>
    <numFmt numFmtId="169" formatCode="0.0"/>
    <numFmt numFmtId="170" formatCode="0.000%"/>
    <numFmt numFmtId="171" formatCode="0.0000%"/>
    <numFmt numFmtId="172" formatCode="#,##0_ ;[Red]\-#,##0\ "/>
  </numFmts>
  <fonts count="32" x14ac:knownFonts="1">
    <font>
      <sz val="10"/>
      <name val="Arial"/>
    </font>
    <font>
      <sz val="10"/>
      <name val="Arial"/>
      <family val="2"/>
    </font>
    <font>
      <sz val="8"/>
      <name val="Arial"/>
      <family val="2"/>
    </font>
    <font>
      <sz val="9"/>
      <name val="Times New Roman"/>
      <family val="1"/>
    </font>
    <font>
      <sz val="9"/>
      <color indexed="8"/>
      <name val="Arial"/>
      <family val="2"/>
    </font>
    <font>
      <b/>
      <sz val="9"/>
      <name val="Arial"/>
      <family val="2"/>
    </font>
    <font>
      <sz val="9"/>
      <name val="Arial"/>
      <family val="2"/>
    </font>
    <font>
      <sz val="9"/>
      <name val="Arial"/>
      <family val="2"/>
    </font>
    <font>
      <b/>
      <sz val="10"/>
      <name val="Arial"/>
      <family val="2"/>
    </font>
    <font>
      <sz val="10"/>
      <name val="Arial"/>
      <family val="2"/>
    </font>
    <font>
      <b/>
      <sz val="9"/>
      <name val="Arial"/>
      <family val="2"/>
    </font>
    <font>
      <sz val="9"/>
      <color indexed="8"/>
      <name val="Arial"/>
      <family val="2"/>
    </font>
    <font>
      <b/>
      <sz val="9"/>
      <color indexed="8"/>
      <name val="Arial"/>
      <family val="2"/>
    </font>
    <font>
      <b/>
      <sz val="9"/>
      <name val="Times New Roman"/>
      <family val="1"/>
    </font>
    <font>
      <b/>
      <sz val="9"/>
      <color indexed="8"/>
      <name val="Arial"/>
      <family val="2"/>
    </font>
    <font>
      <b/>
      <sz val="10"/>
      <color indexed="8"/>
      <name val="Arial"/>
      <family val="2"/>
    </font>
    <font>
      <sz val="10"/>
      <color indexed="8"/>
      <name val="Arial"/>
      <family val="2"/>
    </font>
    <font>
      <sz val="10"/>
      <color indexed="8"/>
      <name val="Arial"/>
      <family val="2"/>
    </font>
    <font>
      <sz val="8"/>
      <name val="Arial"/>
      <family val="2"/>
    </font>
    <font>
      <b/>
      <sz val="8"/>
      <color indexed="81"/>
      <name val="Tahoma"/>
      <family val="2"/>
    </font>
    <font>
      <sz val="8"/>
      <color indexed="81"/>
      <name val="Tahoma"/>
      <family val="2"/>
    </font>
    <font>
      <i/>
      <sz val="10"/>
      <name val="Arial"/>
      <family val="2"/>
    </font>
    <font>
      <sz val="9"/>
      <name val="Garamond"/>
      <family val="1"/>
    </font>
    <font>
      <sz val="16"/>
      <name val="Arial"/>
      <family val="2"/>
    </font>
    <font>
      <b/>
      <sz val="16"/>
      <name val="Garamond"/>
      <family val="1"/>
    </font>
    <font>
      <sz val="10"/>
      <color rgb="FFFF0000"/>
      <name val="Arial"/>
      <family val="2"/>
    </font>
    <font>
      <u/>
      <sz val="10"/>
      <color rgb="FFFF0000"/>
      <name val="Arial"/>
      <family val="2"/>
    </font>
    <font>
      <b/>
      <sz val="10"/>
      <color rgb="FFFF0000"/>
      <name val="Arial"/>
      <family val="2"/>
    </font>
    <font>
      <sz val="10"/>
      <name val="Arial"/>
      <family val="2"/>
    </font>
    <font>
      <i/>
      <sz val="8"/>
      <name val="Arial"/>
      <family val="2"/>
    </font>
    <font>
      <b/>
      <sz val="11"/>
      <name val="Arial"/>
      <family val="2"/>
    </font>
    <font>
      <sz val="9"/>
      <color rgb="FFFF0000"/>
      <name val="Arial"/>
      <family val="2"/>
    </font>
  </fonts>
  <fills count="5">
    <fill>
      <patternFill patternType="none"/>
    </fill>
    <fill>
      <patternFill patternType="gray125"/>
    </fill>
    <fill>
      <patternFill patternType="solid">
        <fgColor indexed="22"/>
        <bgColor indexed="64"/>
      </patternFill>
    </fill>
    <fill>
      <patternFill patternType="solid">
        <fgColor rgb="FFFFFF00"/>
        <bgColor indexed="64"/>
      </patternFill>
    </fill>
    <fill>
      <patternFill patternType="solid">
        <fgColor theme="0"/>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diagonal/>
    </border>
    <border>
      <left style="hair">
        <color indexed="64"/>
      </left>
      <right style="hair">
        <color indexed="64"/>
      </right>
      <top style="hair">
        <color indexed="64"/>
      </top>
      <bottom/>
      <diagonal/>
    </border>
    <border>
      <left/>
      <right style="thin">
        <color indexed="64"/>
      </right>
      <top style="thin">
        <color indexed="64"/>
      </top>
      <bottom style="thin">
        <color indexed="64"/>
      </bottom>
      <diagonal/>
    </border>
    <border>
      <left style="hair">
        <color indexed="64"/>
      </left>
      <right style="hair">
        <color indexed="64"/>
      </right>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hair">
        <color indexed="64"/>
      </left>
      <right/>
      <top/>
      <bottom/>
      <diagonal/>
    </border>
    <border>
      <left style="thin">
        <color indexed="64"/>
      </left>
      <right/>
      <top/>
      <bottom/>
      <diagonal/>
    </border>
  </borders>
  <cellStyleXfs count="5">
    <xf numFmtId="0" fontId="0" fillId="0" borderId="0"/>
    <xf numFmtId="165" fontId="1" fillId="0" borderId="0" applyFont="0" applyFill="0" applyBorder="0" applyAlignment="0" applyProtection="0"/>
    <xf numFmtId="0" fontId="17" fillId="0" borderId="0"/>
    <xf numFmtId="9" fontId="28" fillId="0" borderId="0" applyFont="0" applyFill="0" applyBorder="0" applyAlignment="0" applyProtection="0"/>
    <xf numFmtId="43" fontId="1" fillId="0" borderId="0" applyFont="0" applyFill="0" applyBorder="0" applyAlignment="0" applyProtection="0"/>
  </cellStyleXfs>
  <cellXfs count="320">
    <xf numFmtId="0" fontId="0" fillId="0" borderId="0" xfId="0"/>
    <xf numFmtId="0" fontId="6" fillId="0" borderId="0" xfId="0" applyFont="1" applyAlignment="1"/>
    <xf numFmtId="0" fontId="5" fillId="0" borderId="0" xfId="0" applyFont="1" applyAlignment="1">
      <alignment horizontal="left" vertical="center"/>
    </xf>
    <xf numFmtId="0" fontId="6" fillId="0" borderId="0" xfId="0" applyFont="1" applyAlignment="1">
      <alignment vertical="center"/>
    </xf>
    <xf numFmtId="166" fontId="6" fillId="0" borderId="0" xfId="1" applyNumberFormat="1" applyFont="1" applyAlignment="1">
      <alignment vertical="center"/>
    </xf>
    <xf numFmtId="166" fontId="6" fillId="0" borderId="0" xfId="1" applyNumberFormat="1" applyFont="1" applyAlignment="1"/>
    <xf numFmtId="0" fontId="6" fillId="0" borderId="0" xfId="0" applyFont="1" applyAlignment="1">
      <alignment horizontal="center" vertical="center" wrapText="1"/>
    </xf>
    <xf numFmtId="0" fontId="6" fillId="0" borderId="0" xfId="0" applyFont="1" applyAlignment="1">
      <alignment vertical="center" wrapText="1"/>
    </xf>
    <xf numFmtId="166" fontId="6" fillId="0" borderId="0" xfId="1" applyNumberFormat="1" applyFont="1" applyAlignment="1">
      <alignment vertical="center" wrapText="1"/>
    </xf>
    <xf numFmtId="166" fontId="6" fillId="0" borderId="0" xfId="1" applyNumberFormat="1" applyFont="1"/>
    <xf numFmtId="0" fontId="6" fillId="0" borderId="0" xfId="0" applyFont="1"/>
    <xf numFmtId="0" fontId="5" fillId="0" borderId="1" xfId="0" applyFont="1" applyBorder="1" applyAlignment="1">
      <alignment horizontal="center" vertical="center" wrapText="1"/>
    </xf>
    <xf numFmtId="166" fontId="5" fillId="0" borderId="1" xfId="1" applyNumberFormat="1" applyFont="1" applyBorder="1" applyAlignment="1">
      <alignment horizontal="center" vertical="center" wrapText="1"/>
    </xf>
    <xf numFmtId="0" fontId="6" fillId="0" borderId="1" xfId="0" applyFont="1" applyBorder="1" applyAlignment="1">
      <alignment horizontal="center" vertical="center" wrapText="1"/>
    </xf>
    <xf numFmtId="0" fontId="6" fillId="0" borderId="1" xfId="0" applyFont="1" applyBorder="1" applyAlignment="1">
      <alignment vertical="center" wrapText="1"/>
    </xf>
    <xf numFmtId="166" fontId="6" fillId="0" borderId="1" xfId="1" applyNumberFormat="1" applyFont="1" applyBorder="1" applyAlignment="1">
      <alignment vertical="center" wrapText="1"/>
    </xf>
    <xf numFmtId="166" fontId="6" fillId="0" borderId="1" xfId="1" applyNumberFormat="1" applyFont="1" applyBorder="1" applyAlignment="1">
      <alignment horizontal="center" vertical="center" wrapText="1"/>
    </xf>
    <xf numFmtId="0" fontId="5" fillId="0" borderId="1" xfId="0" applyFont="1" applyBorder="1" applyAlignment="1">
      <alignment vertical="center" wrapText="1"/>
    </xf>
    <xf numFmtId="166" fontId="5" fillId="0" borderId="1" xfId="1" applyNumberFormat="1" applyFont="1" applyBorder="1" applyAlignment="1">
      <alignment vertical="center" wrapText="1"/>
    </xf>
    <xf numFmtId="0" fontId="5" fillId="0" borderId="0" xfId="0" applyFont="1"/>
    <xf numFmtId="166" fontId="5" fillId="0" borderId="0" xfId="1" applyNumberFormat="1" applyFont="1" applyAlignment="1">
      <alignment horizontal="left" vertical="center"/>
    </xf>
    <xf numFmtId="0" fontId="5" fillId="0" borderId="0" xfId="0" applyFont="1" applyAlignment="1">
      <alignment horizontal="left"/>
    </xf>
    <xf numFmtId="0" fontId="5" fillId="0" borderId="0" xfId="0" applyFont="1" applyAlignment="1">
      <alignment horizontal="center" vertical="center" wrapText="1"/>
    </xf>
    <xf numFmtId="0" fontId="5" fillId="0" borderId="0" xfId="0" applyFont="1" applyAlignment="1">
      <alignment vertical="center" wrapText="1"/>
    </xf>
    <xf numFmtId="0" fontId="7" fillId="0" borderId="0" xfId="0" applyFont="1" applyAlignment="1">
      <alignment vertical="center" wrapText="1"/>
    </xf>
    <xf numFmtId="166" fontId="6" fillId="0" borderId="1" xfId="1" applyNumberFormat="1" applyFont="1" applyBorder="1" applyAlignment="1">
      <alignment vertical="center"/>
    </xf>
    <xf numFmtId="166" fontId="6" fillId="0" borderId="0" xfId="1" applyNumberFormat="1" applyFont="1" applyAlignment="1">
      <alignment horizontal="right"/>
    </xf>
    <xf numFmtId="0" fontId="7" fillId="0" borderId="1" xfId="0" applyFont="1" applyBorder="1" applyAlignment="1">
      <alignment vertical="top" wrapText="1"/>
    </xf>
    <xf numFmtId="0" fontId="6" fillId="0" borderId="2" xfId="0" applyFont="1" applyBorder="1"/>
    <xf numFmtId="0" fontId="5" fillId="0" borderId="0" xfId="0" applyFont="1" applyAlignment="1">
      <alignment horizontal="center" vertical="center"/>
    </xf>
    <xf numFmtId="0" fontId="0" fillId="0" borderId="0" xfId="0" applyAlignment="1">
      <alignment horizontal="right"/>
    </xf>
    <xf numFmtId="0" fontId="8" fillId="0" borderId="0" xfId="0" applyFont="1"/>
    <xf numFmtId="0" fontId="9" fillId="0" borderId="0" xfId="0" applyFont="1" applyAlignment="1">
      <alignment horizontal="right"/>
    </xf>
    <xf numFmtId="0" fontId="6" fillId="0" borderId="2" xfId="0" applyFont="1" applyFill="1" applyBorder="1" applyAlignment="1">
      <alignment horizontal="center" vertical="center" wrapText="1"/>
    </xf>
    <xf numFmtId="3" fontId="6" fillId="0" borderId="2" xfId="0" applyNumberFormat="1" applyFont="1" applyFill="1" applyBorder="1"/>
    <xf numFmtId="0" fontId="10" fillId="0" borderId="2" xfId="0" applyFont="1" applyBorder="1" applyAlignment="1">
      <alignment horizontal="center" vertical="top"/>
    </xf>
    <xf numFmtId="0" fontId="10" fillId="0" borderId="2" xfId="0" applyFont="1" applyBorder="1" applyAlignment="1">
      <alignment vertical="top"/>
    </xf>
    <xf numFmtId="0" fontId="10" fillId="0" borderId="2" xfId="0" applyFont="1" applyBorder="1" applyAlignment="1">
      <alignment horizontal="left" vertical="top" wrapText="1"/>
    </xf>
    <xf numFmtId="3" fontId="6" fillId="0" borderId="2" xfId="0" applyNumberFormat="1" applyFont="1" applyBorder="1"/>
    <xf numFmtId="0" fontId="6" fillId="0" borderId="2" xfId="0" applyFont="1" applyBorder="1" applyAlignment="1">
      <alignment horizontal="center" vertical="top"/>
    </xf>
    <xf numFmtId="0" fontId="6" fillId="0" borderId="2" xfId="0" applyFont="1" applyBorder="1" applyAlignment="1">
      <alignment vertical="top" wrapText="1"/>
    </xf>
    <xf numFmtId="0" fontId="6" fillId="0" borderId="2" xfId="0" applyFont="1" applyBorder="1" applyAlignment="1">
      <alignment horizontal="left" vertical="top" wrapText="1"/>
    </xf>
    <xf numFmtId="0" fontId="6" fillId="0" borderId="2" xfId="0" applyFont="1" applyBorder="1" applyAlignment="1">
      <alignment vertical="top"/>
    </xf>
    <xf numFmtId="0" fontId="11" fillId="0" borderId="2" xfId="0" applyFont="1" applyFill="1" applyBorder="1" applyAlignment="1" applyProtection="1">
      <alignment vertical="top"/>
    </xf>
    <xf numFmtId="0" fontId="10" fillId="0" borderId="2" xfId="0" applyFont="1" applyBorder="1" applyAlignment="1">
      <alignment vertical="top" wrapText="1"/>
    </xf>
    <xf numFmtId="0" fontId="10" fillId="0" borderId="0" xfId="0" applyFont="1"/>
    <xf numFmtId="3" fontId="10" fillId="0" borderId="2" xfId="0" applyNumberFormat="1" applyFont="1" applyBorder="1" applyAlignment="1">
      <alignment vertical="top"/>
    </xf>
    <xf numFmtId="0" fontId="6" fillId="0" borderId="3" xfId="0" applyFont="1" applyFill="1" applyBorder="1"/>
    <xf numFmtId="0" fontId="11" fillId="0" borderId="3" xfId="0" applyFont="1" applyFill="1" applyBorder="1" applyAlignment="1" applyProtection="1">
      <alignment vertical="top"/>
    </xf>
    <xf numFmtId="0" fontId="5" fillId="0" borderId="2" xfId="0" applyFont="1" applyBorder="1" applyAlignment="1">
      <alignment horizontal="center" vertical="top"/>
    </xf>
    <xf numFmtId="0" fontId="5" fillId="0" borderId="2" xfId="0" applyFont="1" applyBorder="1" applyAlignment="1">
      <alignment vertical="top"/>
    </xf>
    <xf numFmtId="0" fontId="5" fillId="0" borderId="2" xfId="0" applyFont="1" applyBorder="1" applyAlignment="1">
      <alignment horizontal="left" vertical="top" wrapText="1"/>
    </xf>
    <xf numFmtId="3" fontId="5" fillId="0" borderId="2" xfId="0" applyNumberFormat="1" applyFont="1" applyBorder="1" applyAlignment="1">
      <alignment vertical="top"/>
    </xf>
    <xf numFmtId="3" fontId="5" fillId="0" borderId="2" xfId="0" applyNumberFormat="1" applyFont="1" applyBorder="1"/>
    <xf numFmtId="3" fontId="6" fillId="0" borderId="2" xfId="0" applyNumberFormat="1" applyFont="1" applyBorder="1" applyAlignment="1">
      <alignment vertical="top"/>
    </xf>
    <xf numFmtId="0" fontId="0" fillId="0" borderId="2" xfId="0" applyBorder="1"/>
    <xf numFmtId="0" fontId="12" fillId="0" borderId="2" xfId="0" applyFont="1" applyFill="1" applyBorder="1" applyAlignment="1" applyProtection="1">
      <alignment horizontal="left" vertical="top" wrapText="1"/>
    </xf>
    <xf numFmtId="0" fontId="6" fillId="0" borderId="2" xfId="0" applyFont="1" applyBorder="1" applyAlignment="1" applyProtection="1">
      <alignment horizontal="left" vertical="top"/>
    </xf>
    <xf numFmtId="0" fontId="6" fillId="0" borderId="4" xfId="0" applyFont="1" applyBorder="1" applyAlignment="1" applyProtection="1">
      <alignment horizontal="left" vertical="top" wrapText="1"/>
    </xf>
    <xf numFmtId="0" fontId="11" fillId="0" borderId="2" xfId="0" applyFont="1" applyFill="1" applyBorder="1" applyAlignment="1" applyProtection="1">
      <alignment horizontal="left" vertical="top" wrapText="1"/>
    </xf>
    <xf numFmtId="0" fontId="6" fillId="0" borderId="2" xfId="0" applyFont="1" applyBorder="1" applyAlignment="1" applyProtection="1">
      <alignment horizontal="left" vertical="top" wrapText="1"/>
    </xf>
    <xf numFmtId="0" fontId="10" fillId="0" borderId="2" xfId="0" applyFont="1" applyBorder="1" applyAlignment="1" applyProtection="1">
      <alignment horizontal="left" vertical="top"/>
    </xf>
    <xf numFmtId="0" fontId="10" fillId="0" borderId="2" xfId="0" applyFont="1" applyBorder="1" applyAlignment="1" applyProtection="1">
      <alignment horizontal="left" vertical="top" wrapText="1"/>
    </xf>
    <xf numFmtId="3" fontId="6" fillId="0" borderId="2" xfId="0" applyNumberFormat="1" applyFont="1" applyBorder="1" applyAlignment="1">
      <alignment horizontal="left" vertical="top" wrapText="1"/>
    </xf>
    <xf numFmtId="0" fontId="6" fillId="0" borderId="3" xfId="0" applyFont="1" applyFill="1" applyBorder="1" applyAlignment="1" applyProtection="1">
      <alignment horizontal="left" vertical="top"/>
    </xf>
    <xf numFmtId="0" fontId="6" fillId="0" borderId="4" xfId="0" applyFont="1" applyFill="1" applyBorder="1" applyAlignment="1" applyProtection="1">
      <alignment horizontal="left" vertical="top"/>
    </xf>
    <xf numFmtId="0" fontId="12" fillId="0" borderId="2" xfId="0" applyFont="1" applyFill="1" applyBorder="1" applyAlignment="1" applyProtection="1">
      <alignment vertical="top"/>
    </xf>
    <xf numFmtId="0" fontId="6" fillId="0" borderId="4" xfId="0" applyFont="1" applyBorder="1" applyAlignment="1">
      <alignment horizontal="center" vertical="top"/>
    </xf>
    <xf numFmtId="0" fontId="6" fillId="0" borderId="4" xfId="0" applyFont="1" applyBorder="1" applyAlignment="1" applyProtection="1">
      <alignment horizontal="left" vertical="top"/>
    </xf>
    <xf numFmtId="3" fontId="10" fillId="0" borderId="0" xfId="0" applyNumberFormat="1" applyFont="1" applyBorder="1" applyAlignment="1">
      <alignment vertical="top"/>
    </xf>
    <xf numFmtId="166" fontId="5" fillId="0" borderId="0" xfId="1" applyNumberFormat="1" applyFont="1" applyAlignment="1">
      <alignment horizontal="right" vertical="center" wrapText="1"/>
    </xf>
    <xf numFmtId="0" fontId="6" fillId="0" borderId="0" xfId="0" applyFont="1" applyAlignment="1">
      <alignment horizontal="center" vertical="center"/>
    </xf>
    <xf numFmtId="0" fontId="7" fillId="0" borderId="0" xfId="0" applyFont="1" applyAlignment="1">
      <alignment horizontal="center" vertical="center" wrapText="1"/>
    </xf>
    <xf numFmtId="0" fontId="4" fillId="0" borderId="1" xfId="0" applyFont="1" applyFill="1" applyBorder="1" applyAlignment="1">
      <alignment horizontal="center" vertical="center" wrapText="1"/>
    </xf>
    <xf numFmtId="0" fontId="7" fillId="0" borderId="5" xfId="0" applyFont="1" applyBorder="1" applyAlignment="1">
      <alignment horizontal="center" vertical="center" wrapText="1"/>
    </xf>
    <xf numFmtId="0" fontId="3" fillId="0" borderId="0" xfId="0" applyFont="1" applyBorder="1" applyAlignment="1">
      <alignment horizontal="center" vertical="center" wrapText="1"/>
    </xf>
    <xf numFmtId="0" fontId="5" fillId="0" borderId="1" xfId="0" applyFont="1" applyBorder="1"/>
    <xf numFmtId="0" fontId="3" fillId="0" borderId="1" xfId="0" applyFont="1" applyBorder="1" applyAlignment="1">
      <alignment vertical="top" wrapText="1"/>
    </xf>
    <xf numFmtId="0" fontId="3" fillId="0" borderId="1" xfId="0" applyFont="1" applyBorder="1" applyAlignment="1">
      <alignment horizontal="center" vertical="center" wrapText="1"/>
    </xf>
    <xf numFmtId="166" fontId="5" fillId="0" borderId="0" xfId="1" applyNumberFormat="1" applyFont="1" applyBorder="1" applyAlignment="1">
      <alignment vertical="center" wrapText="1"/>
    </xf>
    <xf numFmtId="0" fontId="7" fillId="0" borderId="1" xfId="0" applyFont="1" applyFill="1" applyBorder="1" applyAlignment="1">
      <alignment horizontal="left" vertical="top" wrapText="1"/>
    </xf>
    <xf numFmtId="0" fontId="5" fillId="0" borderId="0" xfId="0" applyFont="1" applyBorder="1"/>
    <xf numFmtId="0" fontId="5" fillId="0" borderId="0" xfId="0" applyFont="1" applyBorder="1" applyAlignment="1">
      <alignment vertical="center" wrapText="1"/>
    </xf>
    <xf numFmtId="0" fontId="5" fillId="0" borderId="0" xfId="0" applyFont="1" applyBorder="1" applyAlignment="1">
      <alignment horizontal="center" vertical="center" wrapText="1"/>
    </xf>
    <xf numFmtId="0" fontId="10" fillId="0" borderId="1" xfId="0" applyFont="1" applyBorder="1"/>
    <xf numFmtId="0" fontId="13" fillId="0" borderId="1" xfId="0" applyFont="1" applyBorder="1" applyAlignment="1">
      <alignment horizontal="center" vertical="center" wrapText="1"/>
    </xf>
    <xf numFmtId="166" fontId="5" fillId="0" borderId="0" xfId="1" applyNumberFormat="1" applyFont="1" applyAlignment="1">
      <alignment horizontal="center" vertical="center" wrapText="1"/>
    </xf>
    <xf numFmtId="166" fontId="6" fillId="0" borderId="0" xfId="1" applyNumberFormat="1" applyFont="1" applyAlignment="1">
      <alignment horizontal="center" vertical="center" wrapText="1"/>
    </xf>
    <xf numFmtId="0" fontId="6" fillId="0" borderId="1" xfId="0" applyFont="1" applyBorder="1" applyAlignment="1">
      <alignment vertical="top" wrapText="1"/>
    </xf>
    <xf numFmtId="0" fontId="7" fillId="0" borderId="2" xfId="0" applyFont="1" applyBorder="1" applyAlignment="1">
      <alignment horizontal="center" vertical="top"/>
    </xf>
    <xf numFmtId="0" fontId="7" fillId="0" borderId="2" xfId="0" applyFont="1" applyBorder="1" applyAlignment="1">
      <alignment vertical="top"/>
    </xf>
    <xf numFmtId="0" fontId="7" fillId="0" borderId="2" xfId="0" applyFont="1" applyBorder="1" applyAlignment="1">
      <alignment horizontal="left" vertical="top" wrapText="1"/>
    </xf>
    <xf numFmtId="3" fontId="7" fillId="0" borderId="2" xfId="0" applyNumberFormat="1" applyFont="1" applyBorder="1"/>
    <xf numFmtId="0" fontId="7" fillId="0" borderId="2" xfId="0" applyFont="1" applyBorder="1"/>
    <xf numFmtId="0" fontId="9" fillId="0" borderId="0" xfId="0" applyFont="1"/>
    <xf numFmtId="0" fontId="5" fillId="0" borderId="2" xfId="0" applyFont="1" applyBorder="1" applyAlignment="1">
      <alignment vertical="top" wrapText="1"/>
    </xf>
    <xf numFmtId="0" fontId="8" fillId="0" borderId="2" xfId="0" applyFont="1" applyBorder="1"/>
    <xf numFmtId="0" fontId="5" fillId="0" borderId="3" xfId="0" applyFont="1" applyFill="1" applyBorder="1"/>
    <xf numFmtId="3" fontId="7" fillId="0" borderId="2" xfId="0" applyNumberFormat="1" applyFont="1" applyFill="1" applyBorder="1"/>
    <xf numFmtId="0" fontId="5" fillId="0" borderId="2" xfId="0" applyFont="1" applyBorder="1" applyAlignment="1" applyProtection="1">
      <alignment horizontal="left" vertical="top"/>
    </xf>
    <xf numFmtId="0" fontId="5" fillId="0" borderId="2" xfId="0" applyFont="1" applyBorder="1" applyAlignment="1" applyProtection="1">
      <alignment horizontal="left" vertical="top" wrapText="1"/>
    </xf>
    <xf numFmtId="0" fontId="5" fillId="0" borderId="6" xfId="0" applyFont="1" applyFill="1" applyBorder="1" applyAlignment="1" applyProtection="1">
      <alignment horizontal="left" vertical="top"/>
    </xf>
    <xf numFmtId="0" fontId="14" fillId="0" borderId="2" xfId="0" applyFont="1" applyFill="1" applyBorder="1" applyAlignment="1" applyProtection="1">
      <alignment vertical="top"/>
    </xf>
    <xf numFmtId="0" fontId="14" fillId="0" borderId="2" xfId="0" applyFont="1" applyFill="1" applyBorder="1" applyAlignment="1" applyProtection="1">
      <alignment horizontal="left" vertical="top" wrapText="1"/>
    </xf>
    <xf numFmtId="3" fontId="10" fillId="0" borderId="4" xfId="0" applyNumberFormat="1" applyFont="1" applyBorder="1" applyAlignment="1">
      <alignment vertical="top"/>
    </xf>
    <xf numFmtId="0" fontId="0" fillId="0" borderId="7" xfId="0" applyBorder="1"/>
    <xf numFmtId="0" fontId="0" fillId="0" borderId="8" xfId="0" applyBorder="1"/>
    <xf numFmtId="3" fontId="0" fillId="0" borderId="2" xfId="0" applyNumberFormat="1" applyBorder="1"/>
    <xf numFmtId="3" fontId="8" fillId="0" borderId="0" xfId="0" applyNumberFormat="1" applyFont="1"/>
    <xf numFmtId="3" fontId="5" fillId="0" borderId="0" xfId="0" applyNumberFormat="1" applyFont="1" applyBorder="1" applyAlignment="1">
      <alignment vertical="top"/>
    </xf>
    <xf numFmtId="166" fontId="0" fillId="0" borderId="0" xfId="1" applyNumberFormat="1" applyFont="1"/>
    <xf numFmtId="166" fontId="0" fillId="0" borderId="0" xfId="0" applyNumberFormat="1"/>
    <xf numFmtId="165" fontId="8" fillId="0" borderId="0" xfId="0" applyNumberFormat="1" applyFont="1"/>
    <xf numFmtId="3" fontId="9" fillId="0" borderId="9" xfId="0" applyNumberFormat="1" applyFont="1" applyFill="1" applyBorder="1"/>
    <xf numFmtId="0" fontId="9" fillId="0" borderId="9" xfId="0" applyFont="1" applyFill="1" applyBorder="1" applyAlignment="1">
      <alignment wrapText="1"/>
    </xf>
    <xf numFmtId="0" fontId="15" fillId="2" borderId="1" xfId="0" applyFont="1" applyFill="1" applyBorder="1" applyAlignment="1">
      <alignment horizontal="left" vertical="center" wrapText="1"/>
    </xf>
    <xf numFmtId="0" fontId="15" fillId="2" borderId="1" xfId="0" applyFont="1" applyFill="1" applyBorder="1" applyAlignment="1">
      <alignment horizontal="center" vertical="center" wrapText="1"/>
    </xf>
    <xf numFmtId="3" fontId="15" fillId="2" borderId="1" xfId="0" applyNumberFormat="1" applyFont="1" applyFill="1" applyBorder="1" applyAlignment="1">
      <alignment horizontal="center" vertical="center" wrapText="1"/>
    </xf>
    <xf numFmtId="0" fontId="8" fillId="2" borderId="5" xfId="0" applyFont="1" applyFill="1" applyBorder="1" applyAlignment="1">
      <alignment horizontal="center" vertical="center" wrapText="1"/>
    </xf>
    <xf numFmtId="0" fontId="9" fillId="0" borderId="1" xfId="0" applyFont="1" applyBorder="1"/>
    <xf numFmtId="3" fontId="16" fillId="0" borderId="1" xfId="0" applyNumberFormat="1" applyFont="1" applyFill="1" applyBorder="1" applyAlignment="1" applyProtection="1">
      <alignment horizontal="left" vertical="center" wrapText="1"/>
    </xf>
    <xf numFmtId="0" fontId="16" fillId="0" borderId="1" xfId="2" applyFont="1" applyFill="1" applyBorder="1" applyAlignment="1">
      <alignment horizontal="left" vertical="center" wrapText="1"/>
    </xf>
    <xf numFmtId="3" fontId="9" fillId="0" borderId="1" xfId="0" applyNumberFormat="1" applyFont="1" applyFill="1" applyBorder="1" applyAlignment="1">
      <alignment vertical="center"/>
    </xf>
    <xf numFmtId="3" fontId="9" fillId="0" borderId="10" xfId="0" applyNumberFormat="1" applyFont="1" applyFill="1" applyBorder="1" applyAlignment="1">
      <alignment wrapText="1"/>
    </xf>
    <xf numFmtId="3" fontId="9" fillId="0" borderId="1" xfId="0" applyNumberFormat="1" applyFont="1" applyFill="1" applyBorder="1" applyAlignment="1">
      <alignment wrapText="1"/>
    </xf>
    <xf numFmtId="0" fontId="16" fillId="0" borderId="1" xfId="0" applyFont="1" applyBorder="1" applyAlignment="1">
      <alignment vertical="center"/>
    </xf>
    <xf numFmtId="0" fontId="16" fillId="0" borderId="0" xfId="0" applyFont="1" applyAlignment="1">
      <alignment vertical="center"/>
    </xf>
    <xf numFmtId="0" fontId="16" fillId="0" borderId="11" xfId="0" applyFont="1" applyBorder="1" applyAlignment="1">
      <alignment horizontal="left" vertical="center"/>
    </xf>
    <xf numFmtId="3" fontId="9" fillId="0" borderId="1" xfId="0" applyNumberFormat="1" applyFont="1" applyFill="1" applyBorder="1" applyAlignment="1">
      <alignment vertical="top" wrapText="1"/>
    </xf>
    <xf numFmtId="3" fontId="16" fillId="0" borderId="1" xfId="0" applyNumberFormat="1" applyFont="1" applyFill="1" applyBorder="1" applyAlignment="1" applyProtection="1">
      <alignment horizontal="left" vertical="center"/>
    </xf>
    <xf numFmtId="3" fontId="15" fillId="0" borderId="1" xfId="0" applyNumberFormat="1" applyFont="1" applyFill="1" applyBorder="1" applyAlignment="1">
      <alignment horizontal="left" vertical="center" wrapText="1"/>
    </xf>
    <xf numFmtId="3" fontId="15" fillId="0" borderId="1" xfId="0" applyNumberFormat="1" applyFont="1" applyFill="1" applyBorder="1" applyAlignment="1" applyProtection="1">
      <alignment vertical="center"/>
    </xf>
    <xf numFmtId="3" fontId="8" fillId="0" borderId="1" xfId="0" applyNumberFormat="1" applyFont="1" applyFill="1" applyBorder="1" applyAlignment="1">
      <alignment wrapText="1"/>
    </xf>
    <xf numFmtId="3" fontId="9" fillId="0" borderId="0" xfId="0" applyNumberFormat="1" applyFont="1" applyFill="1" applyBorder="1" applyAlignment="1">
      <alignment vertical="top"/>
    </xf>
    <xf numFmtId="3" fontId="16" fillId="0" borderId="0" xfId="0" applyNumberFormat="1" applyFont="1" applyFill="1" applyBorder="1" applyAlignment="1" applyProtection="1">
      <alignment horizontal="left" vertical="top" wrapText="1"/>
    </xf>
    <xf numFmtId="0" fontId="15" fillId="0" borderId="0" xfId="0" applyFont="1" applyFill="1" applyBorder="1" applyAlignment="1" applyProtection="1"/>
    <xf numFmtId="3" fontId="8" fillId="0" borderId="0" xfId="0" applyNumberFormat="1" applyFont="1" applyFill="1" applyBorder="1"/>
    <xf numFmtId="0" fontId="16" fillId="0" borderId="0" xfId="0" applyFont="1" applyFill="1" applyBorder="1" applyAlignment="1">
      <alignment horizontal="left"/>
    </xf>
    <xf numFmtId="0" fontId="9" fillId="0" borderId="0" xfId="0" applyFont="1" applyFill="1" applyBorder="1" applyAlignment="1" applyProtection="1">
      <alignment horizontal="left"/>
    </xf>
    <xf numFmtId="0" fontId="8" fillId="0" borderId="0" xfId="0" applyFont="1" applyFill="1" applyBorder="1" applyAlignment="1"/>
    <xf numFmtId="0" fontId="9" fillId="0" borderId="0" xfId="0" applyFont="1" applyFill="1" applyBorder="1"/>
    <xf numFmtId="3" fontId="18" fillId="0" borderId="0" xfId="0" applyNumberFormat="1" applyFont="1" applyFill="1" applyBorder="1"/>
    <xf numFmtId="166" fontId="5" fillId="0" borderId="1" xfId="1" applyNumberFormat="1" applyFont="1" applyBorder="1" applyAlignment="1">
      <alignment horizontal="center" vertical="center"/>
    </xf>
    <xf numFmtId="3" fontId="7" fillId="0" borderId="2" xfId="0" applyNumberFormat="1" applyFont="1" applyBorder="1" applyAlignment="1">
      <alignment vertical="top"/>
    </xf>
    <xf numFmtId="0" fontId="6" fillId="0" borderId="1"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6" fillId="0" borderId="1" xfId="0" applyFont="1" applyBorder="1" applyAlignment="1">
      <alignment horizontal="center"/>
    </xf>
    <xf numFmtId="3" fontId="10" fillId="0" borderId="7" xfId="0" applyNumberFormat="1" applyFont="1" applyBorder="1" applyAlignment="1">
      <alignment vertical="top"/>
    </xf>
    <xf numFmtId="166" fontId="6" fillId="0" borderId="0" xfId="1" applyNumberFormat="1" applyFont="1" applyBorder="1" applyAlignment="1">
      <alignment vertical="center"/>
    </xf>
    <xf numFmtId="3" fontId="6" fillId="0" borderId="4" xfId="0" applyNumberFormat="1" applyFont="1" applyBorder="1" applyAlignment="1">
      <alignment vertical="top"/>
    </xf>
    <xf numFmtId="0" fontId="9" fillId="0" borderId="0" xfId="0" applyFont="1" applyFill="1"/>
    <xf numFmtId="167" fontId="9" fillId="0" borderId="0" xfId="1" applyNumberFormat="1" applyFont="1" applyFill="1"/>
    <xf numFmtId="167" fontId="8" fillId="0" borderId="0" xfId="1" applyNumberFormat="1" applyFont="1" applyFill="1"/>
    <xf numFmtId="0" fontId="9" fillId="0" borderId="1" xfId="0" applyFont="1" applyFill="1" applyBorder="1"/>
    <xf numFmtId="168" fontId="16" fillId="0" borderId="1" xfId="0" applyNumberFormat="1" applyFont="1" applyFill="1" applyBorder="1" applyAlignment="1" applyProtection="1">
      <alignment vertical="center"/>
    </xf>
    <xf numFmtId="3" fontId="9" fillId="0" borderId="12" xfId="0" applyNumberFormat="1" applyFont="1" applyFill="1" applyBorder="1" applyAlignment="1">
      <alignment horizontal="right" vertical="top"/>
    </xf>
    <xf numFmtId="3" fontId="9" fillId="0" borderId="10" xfId="0" applyNumberFormat="1" applyFont="1" applyFill="1" applyBorder="1" applyAlignment="1">
      <alignment vertical="top"/>
    </xf>
    <xf numFmtId="168" fontId="15" fillId="0" borderId="1" xfId="0" applyNumberFormat="1" applyFont="1" applyFill="1" applyBorder="1" applyAlignment="1" applyProtection="1">
      <alignment vertical="center"/>
    </xf>
    <xf numFmtId="3" fontId="9" fillId="0" borderId="0" xfId="0" applyNumberFormat="1" applyFont="1" applyFill="1"/>
    <xf numFmtId="0" fontId="15" fillId="2" borderId="11" xfId="0" applyFont="1" applyFill="1" applyBorder="1" applyAlignment="1">
      <alignment horizontal="center" vertical="center" wrapText="1"/>
    </xf>
    <xf numFmtId="0" fontId="16" fillId="0" borderId="0" xfId="0" applyFont="1"/>
    <xf numFmtId="0" fontId="22" fillId="0" borderId="0" xfId="0" applyFont="1" applyAlignment="1"/>
    <xf numFmtId="0" fontId="24" fillId="0" borderId="0" xfId="0" applyFont="1"/>
    <xf numFmtId="3" fontId="25" fillId="0" borderId="1" xfId="0" applyNumberFormat="1" applyFont="1" applyFill="1" applyBorder="1" applyAlignment="1" applyProtection="1">
      <alignment horizontal="left" vertical="center" wrapText="1"/>
    </xf>
    <xf numFmtId="0" fontId="25" fillId="0" borderId="1" xfId="2" applyFont="1" applyFill="1" applyBorder="1" applyAlignment="1">
      <alignment horizontal="left" vertical="center" wrapText="1"/>
    </xf>
    <xf numFmtId="168" fontId="25" fillId="0" borderId="1" xfId="0" applyNumberFormat="1" applyFont="1" applyFill="1" applyBorder="1" applyAlignment="1" applyProtection="1">
      <alignment vertical="center"/>
    </xf>
    <xf numFmtId="3" fontId="25" fillId="0" borderId="12" xfId="0" applyNumberFormat="1" applyFont="1" applyFill="1" applyBorder="1" applyAlignment="1">
      <alignment horizontal="right" vertical="top"/>
    </xf>
    <xf numFmtId="3" fontId="25" fillId="0" borderId="10" xfId="0" applyNumberFormat="1" applyFont="1" applyFill="1" applyBorder="1" applyAlignment="1">
      <alignment vertical="top"/>
    </xf>
    <xf numFmtId="3" fontId="25" fillId="0" borderId="1" xfId="0" applyNumberFormat="1" applyFont="1" applyFill="1" applyBorder="1" applyAlignment="1">
      <alignment vertical="center"/>
    </xf>
    <xf numFmtId="3" fontId="25" fillId="0" borderId="1" xfId="0" applyNumberFormat="1" applyFont="1" applyFill="1" applyBorder="1" applyAlignment="1">
      <alignment wrapText="1"/>
    </xf>
    <xf numFmtId="0" fontId="25" fillId="0" borderId="0" xfId="0" applyFont="1"/>
    <xf numFmtId="0" fontId="26" fillId="0" borderId="0" xfId="0" applyFont="1"/>
    <xf numFmtId="165" fontId="9" fillId="0" borderId="0" xfId="0" applyNumberFormat="1" applyFont="1" applyFill="1"/>
    <xf numFmtId="166" fontId="27" fillId="0" borderId="0" xfId="1" applyNumberFormat="1" applyFont="1"/>
    <xf numFmtId="0" fontId="1" fillId="0" borderId="0" xfId="0" applyFont="1" applyFill="1"/>
    <xf numFmtId="0" fontId="6" fillId="0" borderId="0" xfId="0" applyFont="1" applyBorder="1" applyAlignment="1">
      <alignment horizontal="left" vertical="top" wrapText="1"/>
    </xf>
    <xf numFmtId="0" fontId="1" fillId="0" borderId="0" xfId="0" applyFont="1"/>
    <xf numFmtId="0" fontId="6" fillId="0" borderId="2" xfId="0" applyFont="1" applyBorder="1" applyAlignment="1" applyProtection="1">
      <alignment horizontal="center"/>
    </xf>
    <xf numFmtId="0" fontId="6" fillId="0" borderId="2" xfId="0" applyFont="1" applyBorder="1" applyAlignment="1" applyProtection="1">
      <alignment horizontal="left"/>
    </xf>
    <xf numFmtId="166" fontId="6" fillId="0" borderId="2" xfId="1" applyNumberFormat="1" applyFont="1" applyBorder="1"/>
    <xf numFmtId="166" fontId="6" fillId="0" borderId="3" xfId="1" applyNumberFormat="1" applyFont="1" applyFill="1" applyBorder="1"/>
    <xf numFmtId="166" fontId="6" fillId="0" borderId="16" xfId="1" applyNumberFormat="1" applyFont="1" applyFill="1" applyBorder="1"/>
    <xf numFmtId="3" fontId="6" fillId="0" borderId="3" xfId="0" applyNumberFormat="1" applyFont="1" applyFill="1" applyBorder="1"/>
    <xf numFmtId="3" fontId="6" fillId="0" borderId="16" xfId="0" applyNumberFormat="1" applyFont="1" applyFill="1" applyBorder="1"/>
    <xf numFmtId="3" fontId="6" fillId="0" borderId="0" xfId="0" applyNumberFormat="1" applyFont="1" applyFill="1" applyBorder="1"/>
    <xf numFmtId="0" fontId="6" fillId="0" borderId="3" xfId="0" applyFont="1" applyBorder="1"/>
    <xf numFmtId="0" fontId="1" fillId="0" borderId="0" xfId="0" applyFont="1" applyFill="1" applyBorder="1"/>
    <xf numFmtId="166" fontId="6" fillId="0" borderId="16" xfId="1" applyNumberFormat="1" applyFont="1" applyFill="1" applyBorder="1" applyAlignment="1">
      <alignment horizontal="right"/>
    </xf>
    <xf numFmtId="3" fontId="6" fillId="0" borderId="16" xfId="0" applyNumberFormat="1" applyFont="1" applyFill="1" applyBorder="1" applyAlignment="1">
      <alignment horizontal="right"/>
    </xf>
    <xf numFmtId="0" fontId="8" fillId="2" borderId="1" xfId="0" applyFont="1" applyFill="1" applyBorder="1" applyAlignment="1">
      <alignment horizontal="center" vertical="center" wrapText="1"/>
    </xf>
    <xf numFmtId="0" fontId="8" fillId="2" borderId="1" xfId="0" applyFont="1" applyFill="1" applyBorder="1" applyAlignment="1">
      <alignment horizontal="center" vertical="center"/>
    </xf>
    <xf numFmtId="0" fontId="8" fillId="0" borderId="1" xfId="0" applyFont="1" applyBorder="1" applyAlignment="1">
      <alignment horizontal="center" vertical="center"/>
    </xf>
    <xf numFmtId="0" fontId="1" fillId="0" borderId="1" xfId="0" applyFont="1" applyBorder="1" applyAlignment="1">
      <alignment horizontal="center" vertical="center"/>
    </xf>
    <xf numFmtId="0" fontId="1" fillId="0" borderId="1" xfId="0" applyFont="1" applyBorder="1" applyAlignment="1">
      <alignment vertical="center"/>
    </xf>
    <xf numFmtId="3" fontId="1" fillId="0" borderId="1" xfId="0" applyNumberFormat="1" applyFont="1" applyBorder="1" applyAlignment="1">
      <alignment vertical="center"/>
    </xf>
    <xf numFmtId="3" fontId="1" fillId="0" borderId="1" xfId="4" applyNumberFormat="1" applyFont="1" applyBorder="1" applyAlignment="1">
      <alignment vertical="center"/>
    </xf>
    <xf numFmtId="0" fontId="1" fillId="0" borderId="1" xfId="0" applyFont="1" applyFill="1" applyBorder="1" applyAlignment="1">
      <alignment vertical="center"/>
    </xf>
    <xf numFmtId="0" fontId="8" fillId="0" borderId="1" xfId="0" applyFont="1" applyBorder="1" applyAlignment="1">
      <alignment vertical="center"/>
    </xf>
    <xf numFmtId="167" fontId="1" fillId="0" borderId="1" xfId="4" applyNumberFormat="1" applyFont="1" applyBorder="1" applyAlignment="1">
      <alignment vertical="center"/>
    </xf>
    <xf numFmtId="0" fontId="1" fillId="0" borderId="0" xfId="0" applyFont="1" applyBorder="1" applyAlignment="1">
      <alignment horizontal="center" vertical="center"/>
    </xf>
    <xf numFmtId="0" fontId="1" fillId="0" borderId="0" xfId="0" applyFont="1" applyBorder="1" applyAlignment="1">
      <alignment vertical="center"/>
    </xf>
    <xf numFmtId="3" fontId="1" fillId="0" borderId="0" xfId="4" applyNumberFormat="1" applyFont="1" applyBorder="1" applyAlignment="1">
      <alignment vertical="center"/>
    </xf>
    <xf numFmtId="3" fontId="1" fillId="0" borderId="0" xfId="0" applyNumberFormat="1" applyFont="1" applyBorder="1" applyAlignment="1">
      <alignment vertical="center"/>
    </xf>
    <xf numFmtId="0" fontId="8" fillId="0" borderId="0" xfId="0" applyFont="1" applyBorder="1"/>
    <xf numFmtId="0" fontId="8" fillId="0" borderId="0" xfId="0" applyFont="1" applyFill="1" applyBorder="1"/>
    <xf numFmtId="169" fontId="8" fillId="0" borderId="0" xfId="0" applyNumberFormat="1" applyFont="1" applyBorder="1"/>
    <xf numFmtId="0" fontId="1" fillId="0" borderId="0" xfId="0" applyFont="1" applyAlignment="1">
      <alignment horizontal="right" vertical="top"/>
    </xf>
    <xf numFmtId="0" fontId="2" fillId="0" borderId="0" xfId="0" applyFont="1" applyAlignment="1">
      <alignment horizontal="right" vertical="top"/>
    </xf>
    <xf numFmtId="0" fontId="0" fillId="3" borderId="0" xfId="0" applyFill="1"/>
    <xf numFmtId="0" fontId="8" fillId="3" borderId="17" xfId="0" applyFont="1" applyFill="1" applyBorder="1" applyAlignment="1">
      <alignment horizontal="center" vertical="center"/>
    </xf>
    <xf numFmtId="166" fontId="1" fillId="0" borderId="0" xfId="1" applyNumberFormat="1" applyFont="1"/>
    <xf numFmtId="166" fontId="1" fillId="3" borderId="0" xfId="1" applyNumberFormat="1" applyFont="1" applyFill="1"/>
    <xf numFmtId="166" fontId="8" fillId="0" borderId="0" xfId="1" applyNumberFormat="1" applyFont="1"/>
    <xf numFmtId="166" fontId="30" fillId="0" borderId="0" xfId="0" applyNumberFormat="1" applyFont="1"/>
    <xf numFmtId="3" fontId="30" fillId="0" borderId="0" xfId="0" applyNumberFormat="1" applyFont="1"/>
    <xf numFmtId="10" fontId="0" fillId="0" borderId="0" xfId="3" applyNumberFormat="1" applyFont="1"/>
    <xf numFmtId="170" fontId="0" fillId="0" borderId="0" xfId="3" applyNumberFormat="1" applyFont="1"/>
    <xf numFmtId="171" fontId="0" fillId="0" borderId="0" xfId="3" applyNumberFormat="1" applyFont="1"/>
    <xf numFmtId="0" fontId="5" fillId="0" borderId="0" xfId="0" applyFont="1" applyAlignment="1">
      <alignment horizontal="center" vertical="center"/>
    </xf>
    <xf numFmtId="166" fontId="5" fillId="0" borderId="1" xfId="1" applyNumberFormat="1" applyFont="1" applyBorder="1" applyAlignment="1">
      <alignment horizontal="center" vertical="center" wrapText="1"/>
    </xf>
    <xf numFmtId="166" fontId="5" fillId="0" borderId="5" xfId="1" applyNumberFormat="1" applyFont="1" applyBorder="1" applyAlignment="1">
      <alignment horizontal="center" vertical="center" wrapText="1"/>
    </xf>
    <xf numFmtId="0" fontId="6" fillId="0" borderId="0" xfId="0" applyFont="1" applyAlignment="1">
      <alignment horizontal="left" vertical="center" wrapText="1"/>
    </xf>
    <xf numFmtId="1" fontId="10" fillId="2" borderId="2" xfId="0" applyNumberFormat="1" applyFont="1" applyFill="1" applyBorder="1" applyAlignment="1">
      <alignment horizontal="center" vertical="center"/>
    </xf>
    <xf numFmtId="1" fontId="6" fillId="2" borderId="2" xfId="0" applyNumberFormat="1" applyFont="1" applyFill="1" applyBorder="1" applyAlignment="1">
      <alignment horizontal="center" vertical="center"/>
    </xf>
    <xf numFmtId="3" fontId="6" fillId="2" borderId="2" xfId="0" applyNumberFormat="1" applyFont="1" applyFill="1" applyBorder="1" applyAlignment="1">
      <alignment horizontal="center" vertical="center"/>
    </xf>
    <xf numFmtId="0" fontId="6" fillId="0" borderId="0" xfId="0" applyFont="1" applyAlignment="1">
      <alignment horizontal="left" vertical="center" wrapText="1"/>
    </xf>
    <xf numFmtId="1" fontId="10" fillId="2" borderId="2" xfId="0" applyNumberFormat="1" applyFont="1" applyFill="1" applyBorder="1" applyAlignment="1">
      <alignment horizontal="center" vertical="center"/>
    </xf>
    <xf numFmtId="1" fontId="6" fillId="2" borderId="2" xfId="0" applyNumberFormat="1" applyFont="1" applyFill="1" applyBorder="1" applyAlignment="1">
      <alignment horizontal="center" vertical="center"/>
    </xf>
    <xf numFmtId="3" fontId="10" fillId="2" borderId="2" xfId="0" applyNumberFormat="1" applyFont="1" applyFill="1" applyBorder="1" applyAlignment="1">
      <alignment horizontal="center" vertical="center"/>
    </xf>
    <xf numFmtId="3" fontId="6" fillId="2" borderId="2" xfId="0" applyNumberFormat="1" applyFont="1" applyFill="1" applyBorder="1" applyAlignment="1">
      <alignment horizontal="center" vertical="center"/>
    </xf>
    <xf numFmtId="3" fontId="5" fillId="2" borderId="2" xfId="0" applyNumberFormat="1" applyFont="1" applyFill="1" applyBorder="1" applyAlignment="1">
      <alignment horizontal="center" vertical="center"/>
    </xf>
    <xf numFmtId="0" fontId="4" fillId="0" borderId="2" xfId="0" applyFont="1" applyFill="1" applyBorder="1" applyAlignment="1" applyProtection="1">
      <alignment vertical="top"/>
    </xf>
    <xf numFmtId="10" fontId="5" fillId="0" borderId="0" xfId="0" applyNumberFormat="1" applyFont="1"/>
    <xf numFmtId="164" fontId="6" fillId="0" borderId="2" xfId="0" applyNumberFormat="1" applyFont="1" applyBorder="1"/>
    <xf numFmtId="164" fontId="6" fillId="0" borderId="2" xfId="3" applyNumberFormat="1" applyFont="1" applyBorder="1"/>
    <xf numFmtId="164" fontId="6" fillId="4" borderId="2" xfId="0" applyNumberFormat="1" applyFont="1" applyFill="1" applyBorder="1"/>
    <xf numFmtId="3" fontId="6" fillId="0" borderId="2" xfId="0" applyNumberFormat="1" applyFont="1" applyFill="1" applyBorder="1" applyAlignment="1">
      <alignment horizontal="center"/>
    </xf>
    <xf numFmtId="0" fontId="0" fillId="4" borderId="0" xfId="0" applyFill="1"/>
    <xf numFmtId="3" fontId="5" fillId="4" borderId="2" xfId="0" applyNumberFormat="1" applyFont="1" applyFill="1" applyBorder="1" applyAlignment="1">
      <alignment horizontal="center" vertical="center"/>
    </xf>
    <xf numFmtId="3" fontId="6" fillId="4" borderId="2" xfId="0" applyNumberFormat="1" applyFont="1" applyFill="1" applyBorder="1" applyAlignment="1">
      <alignment horizontal="center" vertical="center"/>
    </xf>
    <xf numFmtId="3" fontId="10" fillId="4" borderId="2" xfId="0" applyNumberFormat="1" applyFont="1" applyFill="1" applyBorder="1" applyAlignment="1">
      <alignment vertical="top"/>
    </xf>
    <xf numFmtId="3" fontId="6" fillId="4" borderId="2" xfId="0" applyNumberFormat="1" applyFont="1" applyFill="1" applyBorder="1"/>
    <xf numFmtId="164" fontId="6" fillId="4" borderId="2" xfId="3" applyNumberFormat="1" applyFont="1" applyFill="1" applyBorder="1"/>
    <xf numFmtId="3" fontId="5" fillId="4" borderId="2" xfId="0" applyNumberFormat="1" applyFont="1" applyFill="1" applyBorder="1"/>
    <xf numFmtId="3" fontId="5" fillId="4" borderId="2" xfId="0" applyNumberFormat="1" applyFont="1" applyFill="1" applyBorder="1" applyAlignment="1">
      <alignment vertical="top"/>
    </xf>
    <xf numFmtId="3" fontId="6" fillId="4" borderId="2" xfId="0" applyNumberFormat="1" applyFont="1" applyFill="1" applyBorder="1" applyAlignment="1">
      <alignment vertical="top"/>
    </xf>
    <xf numFmtId="0" fontId="0" fillId="4" borderId="2" xfId="0" applyFill="1" applyBorder="1"/>
    <xf numFmtId="10" fontId="0" fillId="4" borderId="0" xfId="3" applyNumberFormat="1" applyFont="1" applyFill="1"/>
    <xf numFmtId="0" fontId="8" fillId="4" borderId="0" xfId="0" applyFont="1" applyFill="1"/>
    <xf numFmtId="0" fontId="4" fillId="0" borderId="3" xfId="0" applyFont="1" applyFill="1" applyBorder="1" applyAlignment="1" applyProtection="1">
      <alignment vertical="top"/>
    </xf>
    <xf numFmtId="3" fontId="31" fillId="0" borderId="2" xfId="0" applyNumberFormat="1" applyFont="1" applyBorder="1"/>
    <xf numFmtId="3" fontId="5" fillId="0" borderId="2" xfId="0" applyNumberFormat="1" applyFont="1" applyFill="1" applyBorder="1" applyAlignment="1">
      <alignment horizontal="center"/>
    </xf>
    <xf numFmtId="0" fontId="11" fillId="3" borderId="3" xfId="0" applyFont="1" applyFill="1" applyBorder="1" applyAlignment="1" applyProtection="1">
      <alignment vertical="top"/>
    </xf>
    <xf numFmtId="3" fontId="5" fillId="0" borderId="2" xfId="0" applyNumberFormat="1" applyFont="1" applyFill="1" applyBorder="1" applyAlignment="1">
      <alignment horizontal="center" wrapText="1"/>
    </xf>
    <xf numFmtId="3" fontId="6" fillId="0" borderId="2" xfId="0" applyNumberFormat="1" applyFont="1" applyBorder="1" applyAlignment="1">
      <alignment vertical="top" wrapText="1"/>
    </xf>
    <xf numFmtId="0" fontId="7" fillId="0" borderId="2" xfId="0" applyFont="1" applyBorder="1" applyAlignment="1">
      <alignment vertical="top" wrapText="1"/>
    </xf>
    <xf numFmtId="0" fontId="11" fillId="0" borderId="3" xfId="0" applyFont="1" applyFill="1" applyBorder="1" applyAlignment="1" applyProtection="1">
      <alignment vertical="top" wrapText="1"/>
    </xf>
    <xf numFmtId="0" fontId="4" fillId="0" borderId="3" xfId="0" applyFont="1" applyFill="1" applyBorder="1" applyAlignment="1" applyProtection="1">
      <alignment vertical="top" wrapText="1"/>
    </xf>
    <xf numFmtId="0" fontId="6" fillId="0" borderId="3" xfId="0" applyFont="1" applyBorder="1" applyAlignment="1">
      <alignment wrapText="1"/>
    </xf>
    <xf numFmtId="0" fontId="4" fillId="0" borderId="2" xfId="0" applyFont="1" applyFill="1" applyBorder="1" applyAlignment="1" applyProtection="1">
      <alignment vertical="top" wrapText="1"/>
    </xf>
    <xf numFmtId="166" fontId="6" fillId="0" borderId="1" xfId="1" applyNumberFormat="1" applyFont="1" applyBorder="1" applyAlignment="1">
      <alignment horizontal="left" vertical="center" wrapText="1"/>
    </xf>
    <xf numFmtId="3" fontId="6" fillId="0" borderId="2" xfId="0" applyNumberFormat="1" applyFont="1" applyBorder="1" applyAlignment="1">
      <alignment wrapText="1"/>
    </xf>
    <xf numFmtId="165" fontId="6" fillId="0" borderId="0" xfId="1" applyFont="1"/>
    <xf numFmtId="165" fontId="0" fillId="0" borderId="0" xfId="0" applyNumberFormat="1"/>
    <xf numFmtId="3" fontId="7" fillId="4" borderId="2" xfId="0" applyNumberFormat="1" applyFont="1" applyFill="1" applyBorder="1" applyAlignment="1">
      <alignment vertical="top"/>
    </xf>
    <xf numFmtId="166" fontId="6" fillId="4" borderId="1" xfId="1" applyNumberFormat="1" applyFont="1" applyFill="1" applyBorder="1" applyAlignment="1">
      <alignment vertical="center" wrapText="1"/>
    </xf>
    <xf numFmtId="166" fontId="6" fillId="4" borderId="1" xfId="1" applyNumberFormat="1" applyFont="1" applyFill="1" applyBorder="1" applyAlignment="1">
      <alignment horizontal="left" vertical="center" wrapText="1"/>
    </xf>
    <xf numFmtId="166" fontId="5" fillId="0" borderId="0" xfId="1" applyNumberFormat="1" applyFont="1" applyAlignment="1">
      <alignment horizontal="left" vertical="center" wrapText="1"/>
    </xf>
    <xf numFmtId="166" fontId="6" fillId="0" borderId="0" xfId="1" applyNumberFormat="1" applyFont="1" applyAlignment="1">
      <alignment horizontal="left" vertical="center" wrapText="1"/>
    </xf>
    <xf numFmtId="172" fontId="6" fillId="0" borderId="1" xfId="1" applyNumberFormat="1" applyFont="1" applyBorder="1" applyAlignment="1">
      <alignment vertical="center" wrapText="1"/>
    </xf>
    <xf numFmtId="166" fontId="6" fillId="0" borderId="1" xfId="1" applyNumberFormat="1" applyFont="1" applyFill="1" applyBorder="1" applyAlignment="1">
      <alignment vertical="center"/>
    </xf>
    <xf numFmtId="172" fontId="6" fillId="0" borderId="1" xfId="1" applyNumberFormat="1" applyFont="1" applyFill="1" applyBorder="1" applyAlignment="1">
      <alignment vertical="center"/>
    </xf>
    <xf numFmtId="172" fontId="6" fillId="0" borderId="1" xfId="1" applyNumberFormat="1" applyFont="1" applyBorder="1" applyAlignment="1">
      <alignment vertical="center"/>
    </xf>
    <xf numFmtId="3" fontId="31" fillId="0" borderId="2" xfId="0" applyNumberFormat="1" applyFont="1" applyBorder="1" applyAlignment="1">
      <alignment vertical="top"/>
    </xf>
    <xf numFmtId="3" fontId="31" fillId="4" borderId="2" xfId="0" applyNumberFormat="1" applyFont="1" applyFill="1" applyBorder="1"/>
    <xf numFmtId="166" fontId="6" fillId="0" borderId="0" xfId="1" applyNumberFormat="1" applyFont="1" applyAlignment="1">
      <alignment horizontal="left" vertical="center"/>
    </xf>
    <xf numFmtId="166" fontId="5" fillId="0" borderId="1" xfId="1" applyNumberFormat="1" applyFont="1" applyBorder="1" applyAlignment="1">
      <alignment horizontal="left" vertical="center" wrapText="1"/>
    </xf>
    <xf numFmtId="166" fontId="5" fillId="0" borderId="0" xfId="1" applyNumberFormat="1" applyFont="1" applyBorder="1" applyAlignment="1">
      <alignment horizontal="left" vertical="center" wrapText="1"/>
    </xf>
    <xf numFmtId="3" fontId="6" fillId="2" borderId="2" xfId="0" applyNumberFormat="1" applyFont="1" applyFill="1" applyBorder="1" applyAlignment="1">
      <alignment horizontal="center" vertical="center"/>
    </xf>
    <xf numFmtId="166" fontId="5" fillId="0" borderId="0" xfId="1" applyNumberFormat="1" applyFont="1" applyBorder="1" applyAlignment="1">
      <alignment horizontal="center" vertical="center" wrapText="1"/>
    </xf>
    <xf numFmtId="0" fontId="13" fillId="0" borderId="0" xfId="0" applyFont="1" applyBorder="1" applyAlignment="1">
      <alignment horizontal="center" vertical="center" wrapText="1"/>
    </xf>
    <xf numFmtId="0" fontId="1" fillId="0" borderId="2" xfId="0" applyFont="1" applyBorder="1"/>
    <xf numFmtId="10" fontId="1" fillId="0" borderId="0" xfId="3" applyNumberFormat="1" applyFont="1"/>
    <xf numFmtId="166" fontId="1" fillId="0" borderId="0" xfId="0" applyNumberFormat="1" applyFont="1"/>
    <xf numFmtId="0" fontId="6" fillId="0" borderId="0" xfId="0" applyFont="1" applyAlignment="1">
      <alignment horizontal="left" vertical="center" wrapText="1"/>
    </xf>
    <xf numFmtId="0" fontId="5" fillId="0" borderId="1"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10" xfId="0" applyFont="1" applyBorder="1" applyAlignment="1">
      <alignment horizontal="center" vertical="center" wrapText="1"/>
    </xf>
    <xf numFmtId="1" fontId="5" fillId="0" borderId="11" xfId="1" applyNumberFormat="1" applyFont="1" applyBorder="1" applyAlignment="1">
      <alignment horizontal="center" vertical="center" wrapText="1"/>
    </xf>
    <xf numFmtId="0" fontId="0" fillId="0" borderId="5" xfId="0" applyBorder="1" applyAlignment="1">
      <alignment horizontal="center" vertical="center" wrapText="1"/>
    </xf>
    <xf numFmtId="1" fontId="5" fillId="0" borderId="15" xfId="1" applyNumberFormat="1" applyFont="1" applyBorder="1" applyAlignment="1">
      <alignment horizontal="center" vertical="center" wrapText="1"/>
    </xf>
    <xf numFmtId="0" fontId="0" fillId="0" borderId="15" xfId="0" applyBorder="1" applyAlignment="1">
      <alignment horizontal="center" vertical="center" wrapText="1"/>
    </xf>
    <xf numFmtId="0" fontId="24" fillId="0" borderId="0" xfId="0" applyFont="1" applyAlignment="1">
      <alignment horizontal="left" vertical="center" wrapText="1"/>
    </xf>
    <xf numFmtId="0" fontId="23" fillId="0" borderId="0" xfId="0" applyFont="1" applyAlignment="1">
      <alignment horizontal="left" vertical="center" wrapText="1"/>
    </xf>
    <xf numFmtId="0" fontId="24" fillId="0" borderId="0" xfId="0" applyFont="1" applyAlignment="1">
      <alignment horizontal="left"/>
    </xf>
    <xf numFmtId="1" fontId="10" fillId="2" borderId="2" xfId="0" applyNumberFormat="1" applyFont="1" applyFill="1" applyBorder="1" applyAlignment="1">
      <alignment horizontal="center" vertical="center"/>
    </xf>
    <xf numFmtId="1" fontId="6" fillId="2" borderId="2" xfId="0" applyNumberFormat="1" applyFont="1" applyFill="1" applyBorder="1" applyAlignment="1">
      <alignment horizontal="center" vertical="center"/>
    </xf>
    <xf numFmtId="0" fontId="10" fillId="2" borderId="4" xfId="0" applyFont="1" applyFill="1" applyBorder="1" applyAlignment="1">
      <alignment horizontal="center" vertical="center"/>
    </xf>
    <xf numFmtId="0" fontId="10" fillId="2" borderId="6" xfId="0" applyFont="1" applyFill="1" applyBorder="1" applyAlignment="1">
      <alignment horizontal="center" vertical="center"/>
    </xf>
    <xf numFmtId="3" fontId="10" fillId="2" borderId="2" xfId="0" applyNumberFormat="1" applyFont="1" applyFill="1" applyBorder="1" applyAlignment="1">
      <alignment horizontal="center" vertical="center"/>
    </xf>
    <xf numFmtId="3" fontId="6" fillId="2" borderId="2" xfId="0" applyNumberFormat="1" applyFont="1" applyFill="1" applyBorder="1" applyAlignment="1">
      <alignment horizontal="center" vertical="center"/>
    </xf>
    <xf numFmtId="0" fontId="8" fillId="0" borderId="0" xfId="0" applyFont="1" applyAlignment="1">
      <alignment horizontal="center"/>
    </xf>
    <xf numFmtId="0" fontId="10" fillId="2" borderId="2"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10" fillId="2" borderId="2" xfId="0" applyFont="1" applyFill="1" applyBorder="1" applyAlignment="1">
      <alignment horizontal="center" vertical="center"/>
    </xf>
    <xf numFmtId="0" fontId="10" fillId="2" borderId="3" xfId="0" applyFont="1" applyFill="1" applyBorder="1" applyAlignment="1">
      <alignment horizontal="center" vertical="center"/>
    </xf>
    <xf numFmtId="0" fontId="6" fillId="2" borderId="2" xfId="0" applyFont="1" applyFill="1" applyBorder="1" applyAlignment="1">
      <alignment horizontal="center" vertical="center"/>
    </xf>
    <xf numFmtId="1" fontId="10" fillId="4" borderId="2" xfId="0" applyNumberFormat="1" applyFont="1" applyFill="1" applyBorder="1" applyAlignment="1">
      <alignment horizontal="center" vertical="center"/>
    </xf>
    <xf numFmtId="1" fontId="6" fillId="4" borderId="2" xfId="0" applyNumberFormat="1" applyFont="1" applyFill="1" applyBorder="1" applyAlignment="1">
      <alignment horizontal="center" vertical="center"/>
    </xf>
    <xf numFmtId="1" fontId="5" fillId="4" borderId="2" xfId="0" applyNumberFormat="1" applyFont="1" applyFill="1" applyBorder="1" applyAlignment="1">
      <alignment horizontal="center" vertical="center"/>
    </xf>
    <xf numFmtId="0" fontId="10" fillId="2" borderId="4" xfId="0" applyFont="1" applyFill="1" applyBorder="1" applyAlignment="1">
      <alignment horizontal="center" vertical="center" wrapText="1"/>
    </xf>
    <xf numFmtId="0" fontId="10" fillId="2" borderId="6" xfId="0" applyFont="1" applyFill="1" applyBorder="1" applyAlignment="1">
      <alignment horizontal="center" vertical="center" wrapText="1"/>
    </xf>
    <xf numFmtId="1" fontId="5" fillId="2" borderId="2" xfId="0" applyNumberFormat="1" applyFont="1" applyFill="1" applyBorder="1" applyAlignment="1">
      <alignment horizontal="center" vertical="center"/>
    </xf>
    <xf numFmtId="0" fontId="9" fillId="0" borderId="0" xfId="0" applyFont="1" applyAlignment="1">
      <alignment horizontal="left" vertical="top" wrapText="1"/>
    </xf>
    <xf numFmtId="0" fontId="9" fillId="0" borderId="9" xfId="0" applyFont="1" applyFill="1" applyBorder="1" applyAlignment="1">
      <alignment horizontal="center" vertical="center"/>
    </xf>
    <xf numFmtId="0" fontId="8" fillId="0" borderId="0" xfId="0" applyFont="1" applyFill="1" applyBorder="1" applyAlignment="1">
      <alignment horizontal="center" vertical="center" wrapText="1"/>
    </xf>
    <xf numFmtId="0" fontId="8" fillId="2" borderId="1" xfId="0" applyFont="1" applyFill="1" applyBorder="1" applyAlignment="1">
      <alignment horizontal="center" vertical="center"/>
    </xf>
    <xf numFmtId="0" fontId="29" fillId="0" borderId="0" xfId="0" applyFont="1" applyAlignment="1">
      <alignment horizontal="left" vertical="top" wrapText="1"/>
    </xf>
    <xf numFmtId="0" fontId="2" fillId="0" borderId="0" xfId="0" applyNumberFormat="1" applyFont="1" applyAlignment="1">
      <alignment horizontal="left" vertical="top" wrapText="1"/>
    </xf>
  </cellXfs>
  <cellStyles count="5">
    <cellStyle name="Comma" xfId="1" builtinId="3"/>
    <cellStyle name="Comma_2002-2005 budget2" xfId="4"/>
    <cellStyle name="Normal" xfId="0" builtinId="0"/>
    <cellStyle name="Normal_Sheet1" xfId="2"/>
    <cellStyle name="Percent" xfId="3"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70"/>
  <sheetViews>
    <sheetView tabSelected="1" zoomScaleNormal="100" workbookViewId="0">
      <pane ySplit="10" topLeftCell="A161" activePane="bottomLeft" state="frozen"/>
      <selection pane="bottomLeft" sqref="A1:B1"/>
    </sheetView>
  </sheetViews>
  <sheetFormatPr defaultRowHeight="12" x14ac:dyDescent="0.2"/>
  <cols>
    <col min="1" max="1" width="6.7109375" style="6" customWidth="1"/>
    <col min="2" max="2" width="36.7109375" style="7" customWidth="1"/>
    <col min="3" max="3" width="8.7109375" style="6" customWidth="1"/>
    <col min="4" max="5" width="12" style="8" customWidth="1"/>
    <col min="6" max="6" width="12.140625" style="8" customWidth="1"/>
    <col min="7" max="7" width="12" style="8" customWidth="1"/>
    <col min="8" max="8" width="12.85546875" style="8" customWidth="1"/>
    <col min="9" max="9" width="12.42578125" style="8" hidden="1" customWidth="1"/>
    <col min="10" max="10" width="20.28515625" style="268" customWidth="1"/>
    <col min="11" max="12" width="9.7109375" style="8" customWidth="1"/>
    <col min="13" max="13" width="10.7109375" style="8" customWidth="1"/>
    <col min="14" max="14" width="1.7109375" style="8" customWidth="1"/>
    <col min="15" max="16" width="9.7109375" style="9" customWidth="1"/>
    <col min="17" max="17" width="11.28515625" style="9" customWidth="1"/>
    <col min="18" max="16384" width="9.140625" style="10"/>
  </cols>
  <sheetData>
    <row r="1" spans="1:19" ht="20.25" x14ac:dyDescent="0.2">
      <c r="A1" s="293" t="s">
        <v>0</v>
      </c>
      <c r="B1" s="294"/>
      <c r="P1" s="26"/>
      <c r="Q1" s="26"/>
    </row>
    <row r="2" spans="1:19" x14ac:dyDescent="0.2">
      <c r="P2" s="26"/>
    </row>
    <row r="3" spans="1:19" x14ac:dyDescent="0.2">
      <c r="A3" s="2" t="s">
        <v>1</v>
      </c>
      <c r="B3" s="218"/>
      <c r="C3" s="218"/>
      <c r="D3" s="218"/>
      <c r="E3" s="218"/>
      <c r="F3" s="218"/>
      <c r="G3" s="218"/>
      <c r="H3" s="218"/>
      <c r="I3" s="218"/>
      <c r="J3" s="2"/>
      <c r="K3" s="218"/>
      <c r="L3" s="218"/>
      <c r="M3" s="218"/>
      <c r="N3" s="218"/>
      <c r="O3" s="218"/>
      <c r="P3" s="218"/>
      <c r="Q3" s="218"/>
    </row>
    <row r="4" spans="1:19" s="1" customFormat="1" ht="12.75" customHeight="1" x14ac:dyDescent="0.2">
      <c r="A4" s="218"/>
      <c r="B4" s="218"/>
      <c r="C4" s="218"/>
      <c r="D4" s="218"/>
      <c r="E4" s="218"/>
      <c r="F4" s="218"/>
      <c r="G4" s="218"/>
      <c r="H4" s="218"/>
      <c r="I4" s="218"/>
      <c r="J4" s="2"/>
      <c r="K4" s="218"/>
      <c r="L4" s="218"/>
      <c r="M4" s="218"/>
      <c r="N4" s="218"/>
      <c r="O4" s="218"/>
      <c r="P4" s="218"/>
      <c r="Q4" s="218"/>
    </row>
    <row r="5" spans="1:19" s="1" customFormat="1" x14ac:dyDescent="0.2">
      <c r="B5" s="3"/>
      <c r="C5" s="71"/>
      <c r="D5" s="4"/>
      <c r="E5" s="4"/>
      <c r="F5" s="4"/>
      <c r="G5" s="4"/>
      <c r="H5" s="4"/>
      <c r="I5" s="4"/>
      <c r="J5" s="275"/>
      <c r="K5" s="4"/>
      <c r="L5" s="4"/>
      <c r="M5" s="4"/>
      <c r="N5" s="4"/>
      <c r="O5" s="5"/>
      <c r="P5" s="5"/>
      <c r="Q5" s="5"/>
      <c r="S5" s="161"/>
    </row>
    <row r="6" spans="1:19" s="1" customFormat="1" ht="12.75" customHeight="1" x14ac:dyDescent="0.2">
      <c r="A6" s="2" t="s">
        <v>2</v>
      </c>
      <c r="B6" s="3"/>
      <c r="C6" s="71"/>
      <c r="D6" s="4"/>
      <c r="E6" s="4"/>
      <c r="F6" s="4"/>
      <c r="G6" s="4"/>
      <c r="H6" s="4"/>
      <c r="I6" s="4"/>
      <c r="J6" s="275"/>
      <c r="K6" s="4"/>
      <c r="L6" s="4"/>
      <c r="M6" s="4"/>
      <c r="N6" s="4"/>
      <c r="O6" s="5"/>
      <c r="P6" s="5"/>
      <c r="Q6" s="5"/>
      <c r="S6" s="161"/>
    </row>
    <row r="8" spans="1:19" ht="20.25" customHeight="1" x14ac:dyDescent="0.2">
      <c r="A8" s="285" t="s">
        <v>3</v>
      </c>
      <c r="B8" s="285" t="s">
        <v>4</v>
      </c>
      <c r="C8" s="286" t="s">
        <v>5</v>
      </c>
      <c r="D8" s="289" t="s">
        <v>6</v>
      </c>
      <c r="E8" s="290"/>
      <c r="F8" s="289" t="s">
        <v>7</v>
      </c>
      <c r="G8" s="291"/>
      <c r="H8" s="292"/>
      <c r="I8" s="292"/>
      <c r="J8" s="290"/>
      <c r="K8" s="10"/>
      <c r="L8" s="10"/>
      <c r="M8" s="10"/>
      <c r="N8" s="10"/>
      <c r="O8" s="10"/>
      <c r="P8" s="10"/>
      <c r="Q8" s="10"/>
    </row>
    <row r="9" spans="1:19" ht="39" customHeight="1" x14ac:dyDescent="0.2">
      <c r="A9" s="285"/>
      <c r="B9" s="285"/>
      <c r="C9" s="287"/>
      <c r="D9" s="142" t="s">
        <v>8</v>
      </c>
      <c r="E9" s="219" t="s">
        <v>9</v>
      </c>
      <c r="F9" s="220" t="s">
        <v>10</v>
      </c>
      <c r="G9" s="220" t="s">
        <v>11</v>
      </c>
      <c r="H9" s="219" t="s">
        <v>12</v>
      </c>
      <c r="I9" s="220" t="s">
        <v>13</v>
      </c>
      <c r="J9" s="142" t="s">
        <v>14</v>
      </c>
      <c r="K9" s="10"/>
      <c r="L9" s="10"/>
      <c r="M9" s="10"/>
      <c r="N9" s="10"/>
      <c r="O9" s="10"/>
      <c r="P9" s="10"/>
      <c r="Q9" s="10"/>
    </row>
    <row r="10" spans="1:19" x14ac:dyDescent="0.2">
      <c r="A10" s="285"/>
      <c r="B10" s="285"/>
      <c r="C10" s="288"/>
      <c r="D10" s="12" t="s">
        <v>15</v>
      </c>
      <c r="E10" s="219" t="s">
        <v>16</v>
      </c>
      <c r="F10" s="219" t="s">
        <v>17</v>
      </c>
      <c r="G10" s="219" t="s">
        <v>18</v>
      </c>
      <c r="H10" s="219" t="s">
        <v>19</v>
      </c>
      <c r="I10" s="219" t="s">
        <v>20</v>
      </c>
      <c r="J10" s="219" t="s">
        <v>21</v>
      </c>
      <c r="K10" s="10"/>
      <c r="L10" s="10"/>
      <c r="M10" s="10"/>
      <c r="N10" s="10"/>
      <c r="O10" s="10"/>
      <c r="P10" s="10"/>
      <c r="Q10" s="10"/>
    </row>
    <row r="11" spans="1:19" x14ac:dyDescent="0.2">
      <c r="K11" s="10"/>
      <c r="L11" s="10"/>
      <c r="M11" s="10"/>
      <c r="N11" s="10"/>
      <c r="O11" s="10"/>
      <c r="P11" s="10"/>
      <c r="Q11" s="10"/>
    </row>
    <row r="12" spans="1:19" ht="24" x14ac:dyDescent="0.2">
      <c r="A12" s="13">
        <v>1</v>
      </c>
      <c r="B12" s="14" t="s">
        <v>22</v>
      </c>
      <c r="C12" s="13" t="s">
        <v>23</v>
      </c>
      <c r="D12" s="15">
        <f>'CTL budget'!K33+'CTL budget'!K53+'CTL budget'!K108+'CTL budget'!K118</f>
        <v>0</v>
      </c>
      <c r="E12" s="15">
        <f>'CTL budget'!L33+'CTL budget'!L53+'CTL budget'!L108+'CTL budget'!L118</f>
        <v>0</v>
      </c>
      <c r="F12" s="15">
        <f>'QTL budget'!J114</f>
        <v>0</v>
      </c>
      <c r="G12" s="15">
        <f>'QTL budget'!K114</f>
        <v>0</v>
      </c>
      <c r="H12" s="15">
        <f>'QTL budget'!L114</f>
        <v>0</v>
      </c>
      <c r="I12" s="15">
        <v>0</v>
      </c>
      <c r="J12" s="260" t="s">
        <v>24</v>
      </c>
      <c r="K12" s="10"/>
      <c r="L12" s="10"/>
      <c r="M12" s="10"/>
      <c r="N12" s="10"/>
      <c r="O12" s="10"/>
      <c r="P12" s="10"/>
      <c r="Q12" s="10"/>
    </row>
    <row r="13" spans="1:19" ht="24" x14ac:dyDescent="0.2">
      <c r="A13" s="13">
        <v>2</v>
      </c>
      <c r="B13" s="14" t="s">
        <v>25</v>
      </c>
      <c r="C13" s="13" t="s">
        <v>26</v>
      </c>
      <c r="D13" s="15">
        <f>'CTL budget'!K34+'CTL budget'!K54+'CTL budget'!K80+'CTL budget'!K119</f>
        <v>155000</v>
      </c>
      <c r="E13" s="15">
        <f>'CTL budget'!L34+'CTL budget'!L54+'CTL budget'!L80+'CTL budget'!L119</f>
        <v>36392</v>
      </c>
      <c r="F13" s="15">
        <v>0</v>
      </c>
      <c r="G13" s="15">
        <v>0</v>
      </c>
      <c r="H13" s="15">
        <v>0</v>
      </c>
      <c r="I13" s="15">
        <v>0</v>
      </c>
      <c r="J13" s="260" t="s">
        <v>27</v>
      </c>
      <c r="K13" s="10"/>
      <c r="L13" s="10"/>
      <c r="M13" s="10"/>
      <c r="N13" s="10"/>
      <c r="O13" s="10"/>
      <c r="P13" s="10"/>
      <c r="Q13" s="10"/>
    </row>
    <row r="14" spans="1:19" ht="24" x14ac:dyDescent="0.2">
      <c r="A14" s="13">
        <v>3</v>
      </c>
      <c r="B14" s="14" t="s">
        <v>28</v>
      </c>
      <c r="C14" s="13" t="s">
        <v>29</v>
      </c>
      <c r="D14" s="15">
        <f>'CTL budget'!K35+'CTL budget'!K55+'CTL budget'!K81+'CTL budget'!K120</f>
        <v>119000</v>
      </c>
      <c r="E14" s="15">
        <f>'CTL budget'!L35+'CTL budget'!L55+'CTL budget'!L81+'CTL budget'!L120</f>
        <v>102161</v>
      </c>
      <c r="F14" s="15">
        <v>0</v>
      </c>
      <c r="G14" s="265">
        <f>'QTL budget'!K115+'QTL budget'!K116</f>
        <v>45198</v>
      </c>
      <c r="H14" s="265">
        <f>'QTL budget'!L115+'QTL budget'!L116</f>
        <v>0</v>
      </c>
      <c r="I14" s="15">
        <f>G14-H14</f>
        <v>45198</v>
      </c>
      <c r="J14" s="260" t="s">
        <v>30</v>
      </c>
      <c r="K14" s="10"/>
      <c r="L14" s="10"/>
      <c r="M14" s="10"/>
      <c r="N14" s="10"/>
      <c r="O14" s="10"/>
      <c r="P14" s="10"/>
      <c r="Q14" s="10"/>
    </row>
    <row r="15" spans="1:19" ht="24" x14ac:dyDescent="0.2">
      <c r="A15" s="13">
        <v>4</v>
      </c>
      <c r="B15" s="14" t="s">
        <v>31</v>
      </c>
      <c r="C15" s="13" t="s">
        <v>32</v>
      </c>
      <c r="D15" s="15">
        <f>'CTL budget'!K36+'CTL budget'!K56+'CTL budget'!K82+'CTL budget'!K121</f>
        <v>119000</v>
      </c>
      <c r="E15" s="15">
        <f>'CTL budget'!L36+'CTL budget'!L56+'CTL budget'!L82+'CTL budget'!L121</f>
        <v>104665</v>
      </c>
      <c r="F15" s="15">
        <v>0</v>
      </c>
      <c r="G15" s="265">
        <f>'QTL budget'!K115+'QTL budget'!K117</f>
        <v>46475</v>
      </c>
      <c r="H15" s="265">
        <f>'QTL budget'!L115+'QTL budget'!L117</f>
        <v>0</v>
      </c>
      <c r="I15" s="15">
        <f>G15-H15</f>
        <v>46475</v>
      </c>
      <c r="J15" s="260" t="s">
        <v>33</v>
      </c>
      <c r="K15" s="10"/>
      <c r="L15" s="10"/>
      <c r="M15" s="10"/>
      <c r="N15" s="10"/>
      <c r="O15" s="10"/>
      <c r="P15" s="10"/>
      <c r="Q15" s="10"/>
    </row>
    <row r="16" spans="1:19" ht="36" x14ac:dyDescent="0.2">
      <c r="A16" s="13">
        <v>5</v>
      </c>
      <c r="B16" s="14" t="s">
        <v>34</v>
      </c>
      <c r="C16" s="13" t="s">
        <v>35</v>
      </c>
      <c r="D16" s="15">
        <f>'CTL budget'!K112</f>
        <v>10000</v>
      </c>
      <c r="E16" s="15">
        <f>'CTL budget'!L112</f>
        <v>16248</v>
      </c>
      <c r="F16" s="15">
        <v>0</v>
      </c>
      <c r="G16" s="15">
        <v>0</v>
      </c>
      <c r="H16" s="15">
        <v>0</v>
      </c>
      <c r="I16" s="15">
        <v>0</v>
      </c>
      <c r="J16" s="260" t="s">
        <v>36</v>
      </c>
      <c r="K16" s="10"/>
      <c r="L16" s="10"/>
      <c r="M16" s="10"/>
      <c r="N16" s="10"/>
      <c r="O16" s="10"/>
      <c r="P16" s="10"/>
      <c r="Q16" s="10"/>
    </row>
    <row r="17" spans="1:17" ht="24" customHeight="1" x14ac:dyDescent="0.2">
      <c r="A17" s="13">
        <v>6</v>
      </c>
      <c r="B17" s="14" t="s">
        <v>37</v>
      </c>
      <c r="C17" s="13" t="s">
        <v>38</v>
      </c>
      <c r="D17" s="15">
        <f>'CTL budget'!K37</f>
        <v>100000</v>
      </c>
      <c r="E17" s="15">
        <f>'CTL budget'!L37</f>
        <v>83619</v>
      </c>
      <c r="F17" s="15">
        <v>0</v>
      </c>
      <c r="G17" s="15">
        <v>0</v>
      </c>
      <c r="H17" s="15">
        <v>0</v>
      </c>
      <c r="I17" s="15">
        <v>0</v>
      </c>
      <c r="J17" s="260" t="s">
        <v>39</v>
      </c>
      <c r="K17" s="10"/>
      <c r="L17" s="10"/>
      <c r="M17" s="10"/>
      <c r="N17" s="10"/>
      <c r="O17" s="10"/>
      <c r="P17" s="10"/>
      <c r="Q17" s="10"/>
    </row>
    <row r="18" spans="1:17" ht="24" x14ac:dyDescent="0.2">
      <c r="A18" s="13">
        <v>7</v>
      </c>
      <c r="B18" s="14" t="s">
        <v>40</v>
      </c>
      <c r="C18" s="13" t="s">
        <v>41</v>
      </c>
      <c r="D18" s="15">
        <v>0</v>
      </c>
      <c r="E18" s="15">
        <v>0</v>
      </c>
      <c r="F18" s="15">
        <v>0</v>
      </c>
      <c r="G18" s="15">
        <v>0</v>
      </c>
      <c r="H18" s="15">
        <v>0</v>
      </c>
      <c r="I18" s="15">
        <v>0</v>
      </c>
      <c r="J18" s="260" t="s">
        <v>42</v>
      </c>
      <c r="K18" s="10"/>
      <c r="L18" s="10"/>
      <c r="M18" s="10"/>
      <c r="N18" s="10"/>
      <c r="O18" s="10"/>
      <c r="P18" s="10"/>
      <c r="Q18" s="10"/>
    </row>
    <row r="19" spans="1:17" ht="36" x14ac:dyDescent="0.2">
      <c r="A19" s="13">
        <v>8</v>
      </c>
      <c r="B19" s="14" t="s">
        <v>43</v>
      </c>
      <c r="C19" s="13" t="s">
        <v>44</v>
      </c>
      <c r="D19" s="15">
        <v>0</v>
      </c>
      <c r="E19" s="15">
        <v>0</v>
      </c>
      <c r="F19" s="15">
        <v>0</v>
      </c>
      <c r="G19" s="15">
        <v>0</v>
      </c>
      <c r="H19" s="15">
        <v>0</v>
      </c>
      <c r="I19" s="15">
        <v>0</v>
      </c>
      <c r="J19" s="260" t="s">
        <v>45</v>
      </c>
      <c r="K19" s="10"/>
      <c r="L19" s="10"/>
      <c r="M19" s="10"/>
      <c r="N19" s="10"/>
      <c r="O19" s="10"/>
      <c r="P19" s="10"/>
      <c r="Q19" s="10"/>
    </row>
    <row r="20" spans="1:17" x14ac:dyDescent="0.2">
      <c r="A20" s="13"/>
      <c r="B20" s="14"/>
      <c r="C20" s="13"/>
      <c r="D20" s="15"/>
      <c r="E20" s="15"/>
      <c r="F20" s="15"/>
      <c r="G20" s="15"/>
      <c r="H20" s="15"/>
      <c r="I20" s="15"/>
      <c r="J20" s="260"/>
      <c r="K20" s="10"/>
      <c r="L20" s="10"/>
      <c r="M20" s="10"/>
      <c r="N20" s="10"/>
      <c r="O20" s="10"/>
      <c r="P20" s="10"/>
      <c r="Q20" s="10"/>
    </row>
    <row r="21" spans="1:17" s="19" customFormat="1" x14ac:dyDescent="0.2">
      <c r="A21" s="11"/>
      <c r="B21" s="17" t="s">
        <v>46</v>
      </c>
      <c r="C21" s="11"/>
      <c r="D21" s="18">
        <f>SUM(D12:D17)</f>
        <v>503000</v>
      </c>
      <c r="E21" s="18">
        <f>SUM(E12:E17)</f>
        <v>343085</v>
      </c>
      <c r="F21" s="18">
        <f>SUM(F12:F19)</f>
        <v>0</v>
      </c>
      <c r="G21" s="18">
        <f t="shared" ref="G21:I21" si="0">SUM(G12:G19)</f>
        <v>91673</v>
      </c>
      <c r="H21" s="18">
        <f>SUM(H12:H19)</f>
        <v>0</v>
      </c>
      <c r="I21" s="18">
        <f t="shared" si="0"/>
        <v>91673</v>
      </c>
      <c r="J21" s="276"/>
    </row>
    <row r="22" spans="1:17" s="19" customFormat="1" ht="24" x14ac:dyDescent="0.2">
      <c r="A22" s="11"/>
      <c r="B22" s="17" t="s">
        <v>47</v>
      </c>
      <c r="C22" s="219"/>
      <c r="D22" s="12">
        <f>('CTL budget'!K11*0.1)+'CTL budget'!K13+'CTL budget'!K22+'CTL budget'!K41+'CTL budget'!K42+'CTL budget'!K48</f>
        <v>966426.90559999994</v>
      </c>
      <c r="E22" s="219">
        <f>('CTL budget'!L11*0.1)+'CTL budget'!L13+'CTL budget'!L22+'CTL budget'!L41+'CTL budget'!L42+'CTL budget'!L48+13200</f>
        <v>726447.7</v>
      </c>
      <c r="F22" s="18">
        <v>0</v>
      </c>
      <c r="G22" s="18">
        <v>0</v>
      </c>
      <c r="H22" s="18">
        <v>0</v>
      </c>
      <c r="I22" s="18">
        <v>0</v>
      </c>
      <c r="J22" s="276"/>
    </row>
    <row r="23" spans="1:17" s="19" customFormat="1" ht="25.5" customHeight="1" x14ac:dyDescent="0.2">
      <c r="A23" s="11"/>
      <c r="B23" s="17" t="s">
        <v>48</v>
      </c>
      <c r="C23" s="11"/>
      <c r="D23" s="12">
        <f>D21+D22</f>
        <v>1469426.9055999999</v>
      </c>
      <c r="E23" s="219">
        <f>E21+E22</f>
        <v>1069532.7</v>
      </c>
      <c r="F23" s="18">
        <f>F21+F22</f>
        <v>0</v>
      </c>
      <c r="G23" s="18">
        <f t="shared" ref="G23:I23" si="1">G21+G22</f>
        <v>91673</v>
      </c>
      <c r="H23" s="18">
        <f t="shared" si="1"/>
        <v>0</v>
      </c>
      <c r="I23" s="18">
        <f t="shared" si="1"/>
        <v>91673</v>
      </c>
      <c r="J23" s="276"/>
    </row>
    <row r="24" spans="1:17" s="19" customFormat="1" ht="25.5" customHeight="1" x14ac:dyDescent="0.2">
      <c r="A24" s="83"/>
      <c r="B24" s="82"/>
      <c r="C24" s="83"/>
      <c r="D24" s="279"/>
      <c r="E24" s="279"/>
      <c r="F24" s="79"/>
      <c r="G24" s="79"/>
      <c r="H24" s="79"/>
      <c r="I24" s="79"/>
      <c r="J24" s="277"/>
    </row>
    <row r="25" spans="1:17" s="19" customFormat="1" ht="25.5" customHeight="1" x14ac:dyDescent="0.2">
      <c r="A25" s="83"/>
      <c r="B25" s="82"/>
      <c r="C25" s="83"/>
      <c r="D25" s="279"/>
      <c r="E25" s="279"/>
      <c r="F25" s="79"/>
      <c r="G25" s="79"/>
      <c r="H25" s="79"/>
      <c r="I25" s="79"/>
      <c r="J25" s="277"/>
    </row>
    <row r="26" spans="1:17" x14ac:dyDescent="0.2">
      <c r="B26" s="23"/>
      <c r="C26" s="22"/>
      <c r="D26" s="70"/>
      <c r="E26" s="70"/>
      <c r="K26" s="10"/>
      <c r="L26" s="10"/>
      <c r="M26" s="10"/>
      <c r="N26" s="10"/>
      <c r="O26" s="10"/>
      <c r="P26" s="10"/>
      <c r="Q26" s="10"/>
    </row>
    <row r="27" spans="1:17" x14ac:dyDescent="0.2">
      <c r="K27" s="10"/>
      <c r="L27" s="10"/>
      <c r="M27" s="10"/>
      <c r="N27" s="10"/>
      <c r="O27" s="10"/>
      <c r="P27" s="10"/>
      <c r="Q27" s="10"/>
    </row>
    <row r="28" spans="1:17" s="21" customFormat="1" ht="12.75" customHeight="1" x14ac:dyDescent="0.2">
      <c r="A28" s="2" t="s">
        <v>49</v>
      </c>
      <c r="B28" s="2"/>
      <c r="C28" s="29"/>
      <c r="D28" s="20"/>
      <c r="E28" s="20"/>
      <c r="F28" s="20"/>
      <c r="G28" s="20"/>
      <c r="H28" s="20"/>
      <c r="I28" s="20"/>
      <c r="J28" s="20"/>
    </row>
    <row r="29" spans="1:17" x14ac:dyDescent="0.2">
      <c r="K29" s="10"/>
      <c r="L29" s="10"/>
      <c r="M29" s="10"/>
      <c r="N29" s="10"/>
      <c r="O29" s="10"/>
      <c r="P29" s="10"/>
      <c r="Q29" s="10"/>
    </row>
    <row r="30" spans="1:17" ht="21" customHeight="1" x14ac:dyDescent="0.2">
      <c r="A30" s="285" t="s">
        <v>50</v>
      </c>
      <c r="B30" s="285" t="s">
        <v>51</v>
      </c>
      <c r="C30" s="286" t="s">
        <v>52</v>
      </c>
      <c r="D30" s="289" t="s">
        <v>53</v>
      </c>
      <c r="E30" s="290"/>
      <c r="F30" s="289" t="s">
        <v>54</v>
      </c>
      <c r="G30" s="291"/>
      <c r="H30" s="292"/>
      <c r="I30" s="292"/>
      <c r="J30" s="290"/>
      <c r="K30" s="10"/>
      <c r="L30" s="10"/>
      <c r="M30" s="10"/>
      <c r="N30" s="10"/>
      <c r="O30" s="10"/>
      <c r="P30" s="10"/>
      <c r="Q30" s="10"/>
    </row>
    <row r="31" spans="1:17" ht="22.5" customHeight="1" x14ac:dyDescent="0.2">
      <c r="A31" s="285"/>
      <c r="B31" s="285"/>
      <c r="C31" s="287"/>
      <c r="D31" s="142" t="s">
        <v>55</v>
      </c>
      <c r="E31" s="142" t="s">
        <v>56</v>
      </c>
      <c r="F31" s="220" t="s">
        <v>57</v>
      </c>
      <c r="G31" s="220" t="s">
        <v>58</v>
      </c>
      <c r="H31" s="220" t="s">
        <v>59</v>
      </c>
      <c r="I31" s="220" t="s">
        <v>60</v>
      </c>
      <c r="J31" s="142" t="s">
        <v>61</v>
      </c>
      <c r="K31" s="10"/>
      <c r="L31" s="10"/>
      <c r="M31" s="10"/>
      <c r="N31" s="10"/>
      <c r="O31" s="10"/>
      <c r="P31" s="10"/>
      <c r="Q31" s="10"/>
    </row>
    <row r="32" spans="1:17" x14ac:dyDescent="0.2">
      <c r="A32" s="285"/>
      <c r="B32" s="285"/>
      <c r="C32" s="288"/>
      <c r="D32" s="12" t="s">
        <v>62</v>
      </c>
      <c r="E32" s="219" t="s">
        <v>63</v>
      </c>
      <c r="F32" s="219" t="s">
        <v>64</v>
      </c>
      <c r="G32" s="219" t="s">
        <v>65</v>
      </c>
      <c r="H32" s="219" t="s">
        <v>66</v>
      </c>
      <c r="I32" s="219" t="s">
        <v>67</v>
      </c>
      <c r="J32" s="219" t="s">
        <v>68</v>
      </c>
      <c r="K32" s="10"/>
      <c r="L32" s="10"/>
      <c r="M32" s="10"/>
      <c r="N32" s="10"/>
      <c r="O32" s="10"/>
      <c r="P32" s="10"/>
      <c r="Q32" s="10"/>
    </row>
    <row r="33" spans="1:17" x14ac:dyDescent="0.2">
      <c r="K33" s="10"/>
      <c r="L33" s="10"/>
      <c r="M33" s="10"/>
      <c r="N33" s="10"/>
      <c r="O33" s="10"/>
      <c r="P33" s="10"/>
      <c r="Q33" s="10"/>
    </row>
    <row r="34" spans="1:17" ht="31.5" customHeight="1" x14ac:dyDescent="0.2">
      <c r="A34" s="13">
        <v>1</v>
      </c>
      <c r="B34" s="14" t="s">
        <v>69</v>
      </c>
      <c r="C34" s="13" t="s">
        <v>70</v>
      </c>
      <c r="D34" s="15">
        <f>'CTL budget'!K66</f>
        <v>125000</v>
      </c>
      <c r="E34" s="15">
        <f>'CTL budget'!L66</f>
        <v>0</v>
      </c>
      <c r="F34" s="15">
        <v>0</v>
      </c>
      <c r="G34" s="15">
        <f>'QTL budget'!K125</f>
        <v>0</v>
      </c>
      <c r="H34" s="15">
        <f>'QTL budget'!L125</f>
        <v>50529</v>
      </c>
      <c r="I34" s="15">
        <v>0</v>
      </c>
      <c r="J34" s="260"/>
      <c r="K34" s="10"/>
      <c r="L34" s="10"/>
      <c r="M34" s="10"/>
      <c r="N34" s="10"/>
      <c r="O34" s="10"/>
      <c r="P34" s="10"/>
      <c r="Q34" s="10"/>
    </row>
    <row r="35" spans="1:17" ht="31.5" customHeight="1" x14ac:dyDescent="0.2">
      <c r="A35" s="13">
        <v>2</v>
      </c>
      <c r="B35" s="14" t="s">
        <v>71</v>
      </c>
      <c r="C35" s="13" t="s">
        <v>72</v>
      </c>
      <c r="D35" s="15">
        <v>0</v>
      </c>
      <c r="E35" s="15">
        <v>0</v>
      </c>
      <c r="F35" s="15">
        <f>'QTL budget'!J19</f>
        <v>100000</v>
      </c>
      <c r="G35" s="15">
        <f>'QTL budget'!K19+'QTL budget'!K145</f>
        <v>0</v>
      </c>
      <c r="H35" s="15">
        <f>'QTL budget'!L19+'QTL budget'!L145</f>
        <v>0</v>
      </c>
      <c r="I35" s="15">
        <f>G35-H35</f>
        <v>0</v>
      </c>
      <c r="J35" s="260"/>
      <c r="K35" s="10"/>
      <c r="L35" s="10"/>
      <c r="M35" s="10"/>
      <c r="N35" s="10"/>
      <c r="O35" s="10"/>
      <c r="P35" s="10"/>
      <c r="Q35" s="10"/>
    </row>
    <row r="36" spans="1:17" ht="31.5" customHeight="1" x14ac:dyDescent="0.2">
      <c r="A36" s="13">
        <v>3</v>
      </c>
      <c r="B36" s="14" t="s">
        <v>73</v>
      </c>
      <c r="C36" s="13" t="s">
        <v>74</v>
      </c>
      <c r="D36" s="15">
        <v>0</v>
      </c>
      <c r="E36" s="15">
        <v>0</v>
      </c>
      <c r="F36" s="15">
        <v>0</v>
      </c>
      <c r="G36" s="15">
        <v>0</v>
      </c>
      <c r="H36" s="15">
        <v>0</v>
      </c>
      <c r="I36" s="15">
        <v>0</v>
      </c>
      <c r="J36" s="260"/>
      <c r="K36" s="10"/>
      <c r="L36" s="10"/>
      <c r="M36" s="10"/>
      <c r="N36" s="10"/>
      <c r="O36" s="10"/>
      <c r="P36" s="10"/>
      <c r="Q36" s="10"/>
    </row>
    <row r="37" spans="1:17" ht="42.75" customHeight="1" x14ac:dyDescent="0.2">
      <c r="A37" s="13">
        <v>4</v>
      </c>
      <c r="B37" s="14" t="s">
        <v>75</v>
      </c>
      <c r="C37" s="13" t="s">
        <v>76</v>
      </c>
      <c r="D37" s="15">
        <v>0</v>
      </c>
      <c r="E37" s="15">
        <v>0</v>
      </c>
      <c r="F37" s="15">
        <f>'QTL budget'!J41</f>
        <v>150000</v>
      </c>
      <c r="G37" s="15">
        <f>'QTL budget'!K41+'QTL budget'!K28+'QTL budget'!K142</f>
        <v>0</v>
      </c>
      <c r="H37" s="15">
        <f>'QTL budget'!L41+'QTL budget'!L28+'QTL budget'!L142+'QTL budget'!L62+'QTL budget'!L76</f>
        <v>36907</v>
      </c>
      <c r="I37" s="15">
        <v>0</v>
      </c>
      <c r="J37" s="260"/>
      <c r="K37" s="10"/>
      <c r="L37" s="10"/>
      <c r="M37" s="10"/>
      <c r="N37" s="10"/>
      <c r="O37" s="10"/>
      <c r="P37" s="10"/>
      <c r="Q37" s="10"/>
    </row>
    <row r="38" spans="1:17" ht="43.5" customHeight="1" x14ac:dyDescent="0.2">
      <c r="A38" s="13">
        <v>5</v>
      </c>
      <c r="B38" s="14" t="s">
        <v>77</v>
      </c>
      <c r="C38" s="13" t="s">
        <v>78</v>
      </c>
      <c r="D38" s="15">
        <v>0</v>
      </c>
      <c r="E38" s="15">
        <v>0</v>
      </c>
      <c r="F38" s="15">
        <f>'QTL budget'!J68</f>
        <v>300000</v>
      </c>
      <c r="G38" s="15">
        <f>'QTL budget'!K68+'QTL budget'!K72+'QTL budget'!K102+'QTL budget'!K104+'QTL budget'!K119</f>
        <v>0</v>
      </c>
      <c r="H38" s="15">
        <f>'QTL budget'!L68+'QTL budget'!L72+'QTL budget'!L102+'QTL budget'!L104+'QTL budget'!L119+'QTL budget'!L83+'QTL budget'!L86+'QTL budget'!L87+'QTL budget'!L88+'QTL budget'!L118+'QTL budget'!L121</f>
        <v>-6536</v>
      </c>
      <c r="I38" s="15">
        <v>0</v>
      </c>
      <c r="J38" s="260"/>
      <c r="K38" s="10"/>
      <c r="L38" s="10"/>
      <c r="M38" s="10"/>
      <c r="N38" s="10"/>
      <c r="O38" s="10"/>
      <c r="P38" s="10"/>
      <c r="Q38" s="10"/>
    </row>
    <row r="39" spans="1:17" ht="28.5" customHeight="1" x14ac:dyDescent="0.2">
      <c r="A39" s="13">
        <v>6</v>
      </c>
      <c r="B39" s="14" t="s">
        <v>79</v>
      </c>
      <c r="C39" s="13" t="s">
        <v>80</v>
      </c>
      <c r="D39" s="15">
        <v>0</v>
      </c>
      <c r="E39" s="15">
        <v>0</v>
      </c>
      <c r="F39" s="15">
        <f>'QTL budget'!J58</f>
        <v>0</v>
      </c>
      <c r="G39" s="15">
        <f>'QTL budget'!K58</f>
        <v>0</v>
      </c>
      <c r="H39" s="15">
        <f>'QTL budget'!L58+'QTL budget'!L59</f>
        <v>86613.67</v>
      </c>
      <c r="I39" s="15">
        <v>0</v>
      </c>
      <c r="J39" s="260"/>
      <c r="K39" s="10"/>
      <c r="L39" s="10"/>
      <c r="M39" s="10"/>
      <c r="N39" s="10"/>
      <c r="O39" s="10"/>
      <c r="P39" s="10"/>
      <c r="Q39" s="10"/>
    </row>
    <row r="40" spans="1:17" ht="38.25" customHeight="1" x14ac:dyDescent="0.2">
      <c r="A40" s="13">
        <v>7</v>
      </c>
      <c r="B40" s="14" t="s">
        <v>81</v>
      </c>
      <c r="C40" s="13" t="s">
        <v>82</v>
      </c>
      <c r="D40" s="15">
        <v>0</v>
      </c>
      <c r="E40" s="15">
        <v>0</v>
      </c>
      <c r="F40" s="15">
        <v>0</v>
      </c>
      <c r="G40" s="15">
        <v>0</v>
      </c>
      <c r="H40" s="15">
        <v>0</v>
      </c>
      <c r="I40" s="15">
        <v>0</v>
      </c>
      <c r="J40" s="260"/>
      <c r="K40" s="10"/>
      <c r="L40" s="10"/>
      <c r="M40" s="10"/>
      <c r="N40" s="10"/>
      <c r="O40" s="10"/>
      <c r="P40" s="10"/>
      <c r="Q40" s="10"/>
    </row>
    <row r="41" spans="1:17" ht="42" customHeight="1" x14ac:dyDescent="0.2">
      <c r="A41" s="13">
        <v>8</v>
      </c>
      <c r="B41" s="14" t="s">
        <v>83</v>
      </c>
      <c r="C41" s="13" t="s">
        <v>84</v>
      </c>
      <c r="D41" s="15">
        <v>0</v>
      </c>
      <c r="E41" s="15">
        <v>0</v>
      </c>
      <c r="F41" s="15">
        <f>'QTL budget'!J79</f>
        <v>0</v>
      </c>
      <c r="G41" s="15">
        <f>'QTL budget'!K96+'QTL budget'!K97</f>
        <v>0</v>
      </c>
      <c r="H41" s="15">
        <f>'QTL budget'!L79</f>
        <v>0</v>
      </c>
      <c r="I41" s="15">
        <v>0</v>
      </c>
      <c r="J41" s="260"/>
      <c r="K41" s="10"/>
      <c r="L41" s="10"/>
      <c r="M41" s="10"/>
      <c r="N41" s="10"/>
      <c r="O41" s="10"/>
      <c r="P41" s="10"/>
      <c r="Q41" s="10"/>
    </row>
    <row r="42" spans="1:17" ht="24" x14ac:dyDescent="0.2">
      <c r="A42" s="13">
        <v>9</v>
      </c>
      <c r="B42" s="14" t="s">
        <v>85</v>
      </c>
      <c r="C42" s="13" t="s">
        <v>86</v>
      </c>
      <c r="D42" s="15">
        <v>0</v>
      </c>
      <c r="E42" s="15">
        <v>0</v>
      </c>
      <c r="F42" s="15">
        <f>'QTL budget'!J81</f>
        <v>2600000</v>
      </c>
      <c r="G42" s="15">
        <f>'QTL budget'!K81</f>
        <v>0</v>
      </c>
      <c r="H42" s="15">
        <f>'QTL budget'!L81</f>
        <v>249563.25</v>
      </c>
      <c r="I42" s="15">
        <v>0</v>
      </c>
      <c r="J42" s="260"/>
      <c r="K42" s="10"/>
      <c r="L42" s="10"/>
      <c r="M42" s="10"/>
      <c r="N42" s="10"/>
      <c r="O42" s="10"/>
      <c r="P42" s="10"/>
      <c r="Q42" s="10"/>
    </row>
    <row r="43" spans="1:17" x14ac:dyDescent="0.2">
      <c r="A43" s="13"/>
      <c r="B43" s="14"/>
      <c r="C43" s="13"/>
      <c r="D43" s="15"/>
      <c r="E43" s="15"/>
      <c r="F43" s="15"/>
      <c r="G43" s="15"/>
      <c r="H43" s="15"/>
      <c r="I43" s="15"/>
      <c r="J43" s="260"/>
      <c r="K43" s="10"/>
      <c r="L43" s="10"/>
      <c r="M43" s="10"/>
      <c r="N43" s="10"/>
      <c r="O43" s="10"/>
      <c r="P43" s="10"/>
      <c r="Q43" s="10"/>
    </row>
    <row r="44" spans="1:17" s="19" customFormat="1" x14ac:dyDescent="0.2">
      <c r="A44" s="11"/>
      <c r="B44" s="17" t="s">
        <v>87</v>
      </c>
      <c r="C44" s="11"/>
      <c r="D44" s="18">
        <f>SUM(D34:D42)</f>
        <v>125000</v>
      </c>
      <c r="E44" s="18">
        <f>SUM(E34:E42)</f>
        <v>0</v>
      </c>
      <c r="F44" s="18">
        <f>SUM(F34:F42)</f>
        <v>3150000</v>
      </c>
      <c r="G44" s="18">
        <f t="shared" ref="G44:I44" si="2">SUM(G34:G42)</f>
        <v>0</v>
      </c>
      <c r="H44" s="18">
        <f>SUM(H34:H42)</f>
        <v>417076.92</v>
      </c>
      <c r="I44" s="18">
        <f t="shared" si="2"/>
        <v>0</v>
      </c>
      <c r="J44" s="276"/>
    </row>
    <row r="45" spans="1:17" s="19" customFormat="1" ht="24" x14ac:dyDescent="0.2">
      <c r="A45" s="11"/>
      <c r="B45" s="17" t="s">
        <v>88</v>
      </c>
      <c r="C45" s="18"/>
      <c r="D45" s="18">
        <f>('CTL budget'!K11*0.1)+'CTL budget'!K16+'CTL budget'!K17+'CTL budget'!K19+'CTL budget'!K47</f>
        <v>945552.02560000005</v>
      </c>
      <c r="E45" s="18">
        <f>('CTL budget'!L11*0.1)+'CTL budget'!L16+'CTL budget'!L17+'CTL budget'!L19+'CTL budget'!L47</f>
        <v>702460.7</v>
      </c>
      <c r="F45" s="18">
        <v>0</v>
      </c>
      <c r="G45" s="18">
        <v>0</v>
      </c>
      <c r="H45" s="18">
        <v>0</v>
      </c>
      <c r="I45" s="18">
        <v>0</v>
      </c>
      <c r="J45" s="276"/>
    </row>
    <row r="46" spans="1:17" s="19" customFormat="1" x14ac:dyDescent="0.2">
      <c r="A46" s="11"/>
      <c r="B46" s="17" t="s">
        <v>89</v>
      </c>
      <c r="C46" s="11"/>
      <c r="D46" s="12">
        <f>D44+D45</f>
        <v>1070552.0256000001</v>
      </c>
      <c r="E46" s="219">
        <f>E44+E45</f>
        <v>702460.7</v>
      </c>
      <c r="F46" s="18">
        <f t="shared" ref="F46:I46" si="3">F44+F45</f>
        <v>3150000</v>
      </c>
      <c r="G46" s="18">
        <f t="shared" si="3"/>
        <v>0</v>
      </c>
      <c r="H46" s="18">
        <f t="shared" si="3"/>
        <v>417076.92</v>
      </c>
      <c r="I46" s="18">
        <f t="shared" si="3"/>
        <v>0</v>
      </c>
      <c r="J46" s="276"/>
    </row>
    <row r="47" spans="1:17" s="19" customFormat="1" x14ac:dyDescent="0.2">
      <c r="A47" s="83"/>
      <c r="B47" s="82"/>
      <c r="C47" s="83"/>
      <c r="D47" s="279"/>
      <c r="E47" s="279"/>
      <c r="F47" s="79"/>
      <c r="G47" s="79"/>
      <c r="H47" s="79"/>
      <c r="I47" s="79"/>
      <c r="J47" s="277"/>
    </row>
    <row r="48" spans="1:17" s="19" customFormat="1" x14ac:dyDescent="0.2">
      <c r="A48" s="83"/>
      <c r="B48" s="82"/>
      <c r="C48" s="83"/>
      <c r="D48" s="279"/>
      <c r="E48" s="279"/>
      <c r="F48" s="79"/>
      <c r="G48" s="79"/>
      <c r="H48" s="79"/>
      <c r="I48" s="79"/>
      <c r="J48" s="277"/>
    </row>
    <row r="49" spans="1:17" x14ac:dyDescent="0.2">
      <c r="K49" s="10"/>
      <c r="L49" s="10"/>
      <c r="M49" s="10"/>
      <c r="N49" s="10"/>
      <c r="O49" s="10"/>
      <c r="P49" s="10"/>
      <c r="Q49" s="10"/>
    </row>
    <row r="50" spans="1:17" x14ac:dyDescent="0.2">
      <c r="K50" s="10"/>
      <c r="L50" s="10"/>
      <c r="M50" s="10"/>
      <c r="N50" s="10"/>
      <c r="O50" s="10"/>
      <c r="P50" s="10"/>
      <c r="Q50" s="10"/>
    </row>
    <row r="51" spans="1:17" s="21" customFormat="1" x14ac:dyDescent="0.2">
      <c r="A51" s="2" t="s">
        <v>90</v>
      </c>
      <c r="B51" s="2"/>
      <c r="C51" s="29"/>
      <c r="D51" s="20"/>
      <c r="E51" s="20"/>
      <c r="F51" s="20"/>
      <c r="G51" s="20"/>
      <c r="H51" s="20"/>
      <c r="I51" s="20"/>
      <c r="J51" s="20"/>
    </row>
    <row r="52" spans="1:17" x14ac:dyDescent="0.2">
      <c r="K52" s="10"/>
      <c r="L52" s="10"/>
      <c r="M52" s="10"/>
      <c r="N52" s="10"/>
      <c r="O52" s="10"/>
      <c r="P52" s="10"/>
      <c r="Q52" s="10"/>
    </row>
    <row r="53" spans="1:17" ht="21" customHeight="1" x14ac:dyDescent="0.2">
      <c r="A53" s="285" t="s">
        <v>91</v>
      </c>
      <c r="B53" s="285" t="s">
        <v>92</v>
      </c>
      <c r="C53" s="286" t="s">
        <v>93</v>
      </c>
      <c r="D53" s="289" t="s">
        <v>94</v>
      </c>
      <c r="E53" s="290"/>
      <c r="F53" s="289" t="s">
        <v>95</v>
      </c>
      <c r="G53" s="291"/>
      <c r="H53" s="292"/>
      <c r="I53" s="292"/>
      <c r="J53" s="290"/>
      <c r="K53" s="10"/>
      <c r="L53" s="10"/>
      <c r="M53" s="10"/>
      <c r="N53" s="10"/>
      <c r="O53" s="10"/>
      <c r="P53" s="10"/>
      <c r="Q53" s="10"/>
    </row>
    <row r="54" spans="1:17" ht="22.5" customHeight="1" x14ac:dyDescent="0.2">
      <c r="A54" s="285"/>
      <c r="B54" s="285"/>
      <c r="C54" s="287"/>
      <c r="D54" s="142" t="s">
        <v>96</v>
      </c>
      <c r="E54" s="142" t="s">
        <v>97</v>
      </c>
      <c r="F54" s="220" t="s">
        <v>98</v>
      </c>
      <c r="G54" s="220" t="s">
        <v>99</v>
      </c>
      <c r="H54" s="220" t="s">
        <v>100</v>
      </c>
      <c r="I54" s="220" t="s">
        <v>101</v>
      </c>
      <c r="J54" s="142" t="s">
        <v>102</v>
      </c>
      <c r="K54" s="10"/>
      <c r="L54" s="10"/>
      <c r="M54" s="10"/>
      <c r="N54" s="10"/>
      <c r="O54" s="10"/>
      <c r="P54" s="10"/>
      <c r="Q54" s="10"/>
    </row>
    <row r="55" spans="1:17" x14ac:dyDescent="0.2">
      <c r="A55" s="285"/>
      <c r="B55" s="285"/>
      <c r="C55" s="288"/>
      <c r="D55" s="12" t="s">
        <v>103</v>
      </c>
      <c r="E55" s="219" t="s">
        <v>104</v>
      </c>
      <c r="F55" s="219" t="s">
        <v>105</v>
      </c>
      <c r="G55" s="219" t="s">
        <v>106</v>
      </c>
      <c r="H55" s="219" t="s">
        <v>107</v>
      </c>
      <c r="I55" s="219" t="s">
        <v>108</v>
      </c>
      <c r="J55" s="219" t="s">
        <v>109</v>
      </c>
      <c r="K55" s="10"/>
      <c r="L55" s="10"/>
      <c r="M55" s="10"/>
      <c r="N55" s="10"/>
      <c r="O55" s="10"/>
      <c r="P55" s="10"/>
      <c r="Q55" s="10"/>
    </row>
    <row r="56" spans="1:17" x14ac:dyDescent="0.2">
      <c r="K56" s="10"/>
      <c r="L56" s="10"/>
      <c r="M56" s="10"/>
      <c r="N56" s="10"/>
      <c r="O56" s="10"/>
      <c r="P56" s="10"/>
      <c r="Q56" s="10"/>
    </row>
    <row r="57" spans="1:17" ht="36" x14ac:dyDescent="0.2">
      <c r="A57" s="13">
        <v>1</v>
      </c>
      <c r="B57" s="14" t="s">
        <v>110</v>
      </c>
      <c r="C57" s="13" t="s">
        <v>111</v>
      </c>
      <c r="D57" s="15">
        <f>'CTL budget'!K67</f>
        <v>15000</v>
      </c>
      <c r="E57" s="15">
        <f>'CTL budget'!L67</f>
        <v>0</v>
      </c>
      <c r="F57" s="15">
        <f>'QTL budget'!J70</f>
        <v>50000</v>
      </c>
      <c r="G57" s="15">
        <f>'QTL budget'!K70</f>
        <v>0</v>
      </c>
      <c r="H57" s="15">
        <f>'QTL budget'!L70</f>
        <v>0</v>
      </c>
      <c r="I57" s="15">
        <v>0</v>
      </c>
      <c r="J57" s="260"/>
      <c r="K57" s="10"/>
      <c r="L57" s="10"/>
      <c r="M57" s="10"/>
      <c r="N57" s="10"/>
      <c r="O57" s="10"/>
      <c r="P57" s="10"/>
      <c r="Q57" s="10"/>
    </row>
    <row r="58" spans="1:17" ht="36" x14ac:dyDescent="0.2">
      <c r="A58" s="13">
        <v>2</v>
      </c>
      <c r="B58" s="14" t="s">
        <v>112</v>
      </c>
      <c r="C58" s="13" t="s">
        <v>113</v>
      </c>
      <c r="D58" s="15">
        <v>0</v>
      </c>
      <c r="E58" s="15">
        <v>0</v>
      </c>
      <c r="F58" s="15">
        <f>'QTL budget'!J71</f>
        <v>150000</v>
      </c>
      <c r="G58" s="15">
        <f>'QTL budget'!K71+'QTL budget'!K140</f>
        <v>0</v>
      </c>
      <c r="H58" s="269">
        <f>'QTL budget'!L71+'QTL budget'!L140</f>
        <v>7773.25</v>
      </c>
      <c r="I58" s="15">
        <v>0</v>
      </c>
      <c r="J58" s="260"/>
      <c r="K58" s="10"/>
      <c r="L58" s="10"/>
      <c r="M58" s="10"/>
      <c r="N58" s="10"/>
      <c r="O58" s="10"/>
      <c r="P58" s="10"/>
      <c r="Q58" s="10"/>
    </row>
    <row r="59" spans="1:17" ht="24" x14ac:dyDescent="0.2">
      <c r="A59" s="13">
        <v>3</v>
      </c>
      <c r="B59" s="14" t="s">
        <v>114</v>
      </c>
      <c r="C59" s="13" t="s">
        <v>115</v>
      </c>
      <c r="D59" s="15">
        <v>0</v>
      </c>
      <c r="E59" s="15">
        <v>0</v>
      </c>
      <c r="F59" s="15">
        <f>'QTL budget'!J44</f>
        <v>50000</v>
      </c>
      <c r="G59" s="15">
        <f>'QTL budget'!K44</f>
        <v>51554.8</v>
      </c>
      <c r="H59" s="15">
        <f>'QTL budget'!L44</f>
        <v>19617</v>
      </c>
      <c r="I59" s="15">
        <f>G59-H59</f>
        <v>31937.800000000003</v>
      </c>
      <c r="J59" s="260" t="s">
        <v>116</v>
      </c>
      <c r="K59" s="10"/>
      <c r="L59" s="10"/>
      <c r="M59" s="10"/>
      <c r="N59" s="10"/>
      <c r="O59" s="10"/>
      <c r="P59" s="10"/>
      <c r="Q59" s="10"/>
    </row>
    <row r="60" spans="1:17" ht="24" x14ac:dyDescent="0.2">
      <c r="A60" s="13">
        <v>4</v>
      </c>
      <c r="B60" s="14" t="s">
        <v>117</v>
      </c>
      <c r="C60" s="13" t="s">
        <v>118</v>
      </c>
      <c r="D60" s="15">
        <v>0</v>
      </c>
      <c r="E60" s="15">
        <v>0</v>
      </c>
      <c r="F60" s="15">
        <f>'QTL budget'!J60</f>
        <v>0</v>
      </c>
      <c r="G60" s="15">
        <f>'QTL budget'!K60+'QTL budget'!K29</f>
        <v>113000</v>
      </c>
      <c r="H60" s="15">
        <f>'QTL budget'!L60+'QTL budget'!L61+'QTL budget'!L29</f>
        <v>16006</v>
      </c>
      <c r="I60" s="15">
        <f>G60-H60</f>
        <v>96994</v>
      </c>
      <c r="J60" s="260" t="s">
        <v>119</v>
      </c>
      <c r="K60" s="10"/>
      <c r="L60" s="10"/>
      <c r="M60" s="10"/>
      <c r="N60" s="10"/>
      <c r="O60" s="10"/>
      <c r="P60" s="10"/>
      <c r="Q60" s="10"/>
    </row>
    <row r="61" spans="1:17" ht="25.5" customHeight="1" x14ac:dyDescent="0.2">
      <c r="A61" s="13">
        <v>5</v>
      </c>
      <c r="B61" s="14" t="s">
        <v>120</v>
      </c>
      <c r="C61" s="144" t="s">
        <v>121</v>
      </c>
      <c r="D61" s="15">
        <v>0</v>
      </c>
      <c r="E61" s="15">
        <v>0</v>
      </c>
      <c r="F61" s="15">
        <f>'QTL budget'!J10</f>
        <v>157264.64000000001</v>
      </c>
      <c r="G61" s="15">
        <f>'QTL budget'!K10</f>
        <v>0</v>
      </c>
      <c r="H61" s="15">
        <f>'QTL budget'!L10+'QTL budget'!L25+7418</f>
        <v>17748</v>
      </c>
      <c r="I61" s="15">
        <v>0</v>
      </c>
      <c r="J61" s="260"/>
      <c r="K61" s="10"/>
      <c r="L61" s="10"/>
      <c r="M61" s="10"/>
      <c r="N61" s="10"/>
      <c r="O61" s="10"/>
      <c r="P61" s="10"/>
      <c r="Q61" s="10"/>
    </row>
    <row r="62" spans="1:17" ht="24.75" customHeight="1" x14ac:dyDescent="0.2">
      <c r="A62" s="13">
        <v>6</v>
      </c>
      <c r="B62" s="14" t="s">
        <v>122</v>
      </c>
      <c r="C62" s="144" t="s">
        <v>123</v>
      </c>
      <c r="D62" s="15">
        <v>0</v>
      </c>
      <c r="E62" s="15">
        <v>0</v>
      </c>
      <c r="F62" s="15">
        <f>'QTL budget'!J73</f>
        <v>100000</v>
      </c>
      <c r="G62" s="15">
        <f>'QTL budget'!K73</f>
        <v>0</v>
      </c>
      <c r="H62" s="15">
        <f>'QTL budget'!L73+'QTL budget'!L45+'QTL budget'!L95+'QTL budget'!L85</f>
        <v>12979</v>
      </c>
      <c r="I62" s="15">
        <v>0</v>
      </c>
      <c r="J62" s="260"/>
      <c r="K62" s="10"/>
      <c r="L62" s="10"/>
      <c r="M62" s="10"/>
      <c r="N62" s="10"/>
      <c r="O62" s="10"/>
      <c r="P62" s="10"/>
      <c r="Q62" s="10"/>
    </row>
    <row r="63" spans="1:17" ht="24" x14ac:dyDescent="0.2">
      <c r="A63" s="13">
        <v>7</v>
      </c>
      <c r="B63" s="14" t="s">
        <v>124</v>
      </c>
      <c r="C63" s="13" t="s">
        <v>125</v>
      </c>
      <c r="D63" s="15">
        <v>0</v>
      </c>
      <c r="E63" s="15">
        <v>0</v>
      </c>
      <c r="F63" s="15">
        <f>'QTL budget'!J45</f>
        <v>30000</v>
      </c>
      <c r="G63" s="15">
        <f>'QTL budget'!K45</f>
        <v>0</v>
      </c>
      <c r="H63" s="15">
        <f>'QTL budget'!L45</f>
        <v>13140</v>
      </c>
      <c r="I63" s="15">
        <v>0</v>
      </c>
      <c r="J63" s="260"/>
      <c r="K63" s="10"/>
      <c r="L63" s="10"/>
      <c r="M63" s="10"/>
      <c r="N63" s="10"/>
      <c r="O63" s="10"/>
      <c r="P63" s="10"/>
      <c r="Q63" s="10"/>
    </row>
    <row r="64" spans="1:17" x14ac:dyDescent="0.2">
      <c r="A64" s="13"/>
      <c r="B64" s="14"/>
      <c r="C64" s="13"/>
      <c r="D64" s="15"/>
      <c r="E64" s="15"/>
      <c r="F64" s="15"/>
      <c r="G64" s="15"/>
      <c r="H64" s="15"/>
      <c r="I64" s="15"/>
      <c r="J64" s="260"/>
      <c r="K64" s="10"/>
      <c r="L64" s="10"/>
      <c r="M64" s="10"/>
      <c r="N64" s="10"/>
      <c r="O64" s="10"/>
      <c r="P64" s="10"/>
      <c r="Q64" s="10"/>
    </row>
    <row r="65" spans="1:17" s="19" customFormat="1" x14ac:dyDescent="0.2">
      <c r="A65" s="76"/>
      <c r="B65" s="17" t="s">
        <v>126</v>
      </c>
      <c r="C65" s="11"/>
      <c r="D65" s="18">
        <f>SUM(D57:D64)</f>
        <v>15000</v>
      </c>
      <c r="E65" s="18">
        <f>SUM(E57:E64)</f>
        <v>0</v>
      </c>
      <c r="F65" s="18">
        <f>SUM(F57:F64)</f>
        <v>537264.64000000001</v>
      </c>
      <c r="G65" s="18">
        <f t="shared" ref="G65:I65" si="4">SUM(G57:G64)</f>
        <v>164554.79999999999</v>
      </c>
      <c r="H65" s="18">
        <f>SUM(H57:H64)</f>
        <v>87263.25</v>
      </c>
      <c r="I65" s="18">
        <f t="shared" si="4"/>
        <v>128931.8</v>
      </c>
      <c r="J65" s="276"/>
    </row>
    <row r="66" spans="1:17" s="19" customFormat="1" ht="24" x14ac:dyDescent="0.2">
      <c r="A66" s="11"/>
      <c r="B66" s="17" t="s">
        <v>127</v>
      </c>
      <c r="C66" s="18"/>
      <c r="D66" s="18">
        <f>('CTL budget'!K11*0.1)+'CTL budget'!K26+'CTL budget'!K27+('CTL budget'!K46*0.5)</f>
        <v>592734.10560000001</v>
      </c>
      <c r="E66" s="18">
        <f>('CTL budget'!L11*0.1)+'CTL budget'!L26+'CTL budget'!L27+('CTL budget'!L46*0.5)</f>
        <v>449107.20000000001</v>
      </c>
      <c r="F66" s="18">
        <v>0</v>
      </c>
      <c r="G66" s="18">
        <v>0</v>
      </c>
      <c r="H66" s="18">
        <v>0</v>
      </c>
      <c r="I66" s="18">
        <v>0</v>
      </c>
      <c r="J66" s="276"/>
    </row>
    <row r="67" spans="1:17" s="19" customFormat="1" ht="12.75" customHeight="1" x14ac:dyDescent="0.2">
      <c r="A67" s="11"/>
      <c r="B67" s="17" t="s">
        <v>128</v>
      </c>
      <c r="C67" s="11"/>
      <c r="D67" s="18">
        <f>D65+D66</f>
        <v>607734.10560000001</v>
      </c>
      <c r="E67" s="18">
        <f>E65+E66</f>
        <v>449107.20000000001</v>
      </c>
      <c r="F67" s="18">
        <f>F65+F66</f>
        <v>537264.64000000001</v>
      </c>
      <c r="G67" s="18">
        <f t="shared" ref="G67:I67" si="5">G65+G66</f>
        <v>164554.79999999999</v>
      </c>
      <c r="H67" s="18">
        <f t="shared" si="5"/>
        <v>87263.25</v>
      </c>
      <c r="I67" s="18">
        <f t="shared" si="5"/>
        <v>128931.8</v>
      </c>
      <c r="J67" s="276"/>
    </row>
    <row r="68" spans="1:17" s="19" customFormat="1" ht="12.75" customHeight="1" x14ac:dyDescent="0.2">
      <c r="A68" s="83"/>
      <c r="B68" s="82"/>
      <c r="C68" s="83"/>
      <c r="D68" s="79"/>
      <c r="E68" s="79"/>
      <c r="F68" s="79"/>
      <c r="G68" s="79"/>
      <c r="H68" s="79"/>
      <c r="I68" s="79"/>
      <c r="J68" s="277"/>
    </row>
    <row r="69" spans="1:17" s="19" customFormat="1" ht="12.75" customHeight="1" x14ac:dyDescent="0.2">
      <c r="A69" s="83"/>
      <c r="B69" s="82"/>
      <c r="C69" s="83"/>
      <c r="D69" s="79"/>
      <c r="E69" s="79"/>
      <c r="F69" s="79"/>
      <c r="G69" s="79"/>
      <c r="H69" s="79"/>
      <c r="I69" s="79"/>
      <c r="J69" s="277"/>
    </row>
    <row r="70" spans="1:17" x14ac:dyDescent="0.2">
      <c r="B70" s="23"/>
      <c r="C70" s="22"/>
      <c r="K70" s="10"/>
      <c r="L70" s="10"/>
      <c r="M70" s="10"/>
      <c r="N70" s="10"/>
      <c r="O70" s="10"/>
      <c r="P70" s="10"/>
      <c r="Q70" s="10"/>
    </row>
    <row r="71" spans="1:17" x14ac:dyDescent="0.2">
      <c r="B71" s="23"/>
      <c r="C71" s="22"/>
      <c r="K71" s="10"/>
      <c r="L71" s="10"/>
      <c r="M71" s="10"/>
      <c r="N71" s="10"/>
      <c r="O71" s="10"/>
      <c r="P71" s="10"/>
      <c r="Q71" s="10"/>
    </row>
    <row r="72" spans="1:17" s="21" customFormat="1" x14ac:dyDescent="0.2">
      <c r="A72" s="2" t="s">
        <v>129</v>
      </c>
      <c r="B72" s="2"/>
      <c r="C72" s="29"/>
      <c r="D72" s="20"/>
      <c r="E72" s="20"/>
      <c r="F72" s="20"/>
      <c r="G72" s="20"/>
      <c r="H72" s="20"/>
      <c r="I72" s="20"/>
      <c r="J72" s="20"/>
    </row>
    <row r="73" spans="1:17" x14ac:dyDescent="0.2">
      <c r="K73" s="10"/>
      <c r="L73" s="10"/>
      <c r="M73" s="10"/>
      <c r="N73" s="10"/>
      <c r="O73" s="10"/>
      <c r="P73" s="10"/>
      <c r="Q73" s="10"/>
    </row>
    <row r="74" spans="1:17" ht="21" customHeight="1" x14ac:dyDescent="0.2">
      <c r="A74" s="285" t="s">
        <v>130</v>
      </c>
      <c r="B74" s="285" t="s">
        <v>131</v>
      </c>
      <c r="C74" s="286" t="s">
        <v>132</v>
      </c>
      <c r="D74" s="289" t="s">
        <v>133</v>
      </c>
      <c r="E74" s="290"/>
      <c r="F74" s="289" t="s">
        <v>134</v>
      </c>
      <c r="G74" s="291"/>
      <c r="H74" s="292"/>
      <c r="I74" s="292"/>
      <c r="J74" s="290"/>
      <c r="K74" s="10"/>
      <c r="L74" s="10"/>
      <c r="M74" s="10"/>
      <c r="N74" s="10"/>
      <c r="O74" s="10"/>
      <c r="P74" s="10"/>
      <c r="Q74" s="10"/>
    </row>
    <row r="75" spans="1:17" ht="22.5" customHeight="1" x14ac:dyDescent="0.2">
      <c r="A75" s="285"/>
      <c r="B75" s="285"/>
      <c r="C75" s="287"/>
      <c r="D75" s="142" t="s">
        <v>135</v>
      </c>
      <c r="E75" s="142" t="s">
        <v>136</v>
      </c>
      <c r="F75" s="220" t="s">
        <v>137</v>
      </c>
      <c r="G75" s="220" t="s">
        <v>138</v>
      </c>
      <c r="H75" s="220" t="s">
        <v>139</v>
      </c>
      <c r="I75" s="220" t="s">
        <v>140</v>
      </c>
      <c r="J75" s="142" t="s">
        <v>141</v>
      </c>
      <c r="K75" s="10"/>
      <c r="L75" s="10"/>
      <c r="M75" s="10"/>
      <c r="N75" s="10"/>
      <c r="O75" s="10"/>
      <c r="P75" s="10"/>
      <c r="Q75" s="10"/>
    </row>
    <row r="76" spans="1:17" x14ac:dyDescent="0.2">
      <c r="A76" s="285"/>
      <c r="B76" s="285"/>
      <c r="C76" s="288"/>
      <c r="D76" s="12" t="s">
        <v>142</v>
      </c>
      <c r="E76" s="219" t="s">
        <v>143</v>
      </c>
      <c r="F76" s="219" t="s">
        <v>144</v>
      </c>
      <c r="G76" s="219" t="s">
        <v>145</v>
      </c>
      <c r="H76" s="219" t="s">
        <v>146</v>
      </c>
      <c r="I76" s="219" t="s">
        <v>147</v>
      </c>
      <c r="J76" s="219" t="s">
        <v>148</v>
      </c>
      <c r="K76" s="10"/>
      <c r="L76" s="10"/>
      <c r="M76" s="10"/>
      <c r="N76" s="10"/>
      <c r="O76" s="10"/>
      <c r="P76" s="10"/>
      <c r="Q76" s="10"/>
    </row>
    <row r="77" spans="1:17" x14ac:dyDescent="0.2">
      <c r="K77" s="10"/>
      <c r="L77" s="10"/>
      <c r="M77" s="10"/>
      <c r="N77" s="10"/>
      <c r="O77" s="10"/>
      <c r="P77" s="10"/>
      <c r="Q77" s="10"/>
    </row>
    <row r="78" spans="1:17" x14ac:dyDescent="0.2">
      <c r="A78" s="13">
        <v>1</v>
      </c>
      <c r="B78" s="14" t="s">
        <v>149</v>
      </c>
      <c r="C78" s="13" t="s">
        <v>150</v>
      </c>
      <c r="D78" s="15">
        <f>'CTL budget'!K69</f>
        <v>10000</v>
      </c>
      <c r="E78" s="15">
        <f>'CTL budget'!L69</f>
        <v>0</v>
      </c>
      <c r="F78" s="16">
        <f>'QTL budget'!J20</f>
        <v>100000</v>
      </c>
      <c r="G78" s="25">
        <f>'QTL budget'!K20+'QTL budget'!K43+'QTL budget'!K48+'QTL budget'!K103+'QTL budget'!K146</f>
        <v>149767.85999999999</v>
      </c>
      <c r="H78" s="25">
        <f>'QTL budget'!L20+'QTL budget'!L43+'QTL budget'!L48+'QTL budget'!L103+'QTL budget'!L146</f>
        <v>40941</v>
      </c>
      <c r="I78" s="16">
        <f>G78-H78</f>
        <v>108826.85999999999</v>
      </c>
      <c r="J78" s="260" t="s">
        <v>151</v>
      </c>
      <c r="K78" s="10"/>
      <c r="L78" s="10"/>
      <c r="M78" s="10"/>
      <c r="N78" s="10"/>
      <c r="O78" s="10"/>
      <c r="P78" s="10"/>
      <c r="Q78" s="10"/>
    </row>
    <row r="79" spans="1:17" ht="24" x14ac:dyDescent="0.2">
      <c r="A79" s="13">
        <v>2</v>
      </c>
      <c r="B79" s="88" t="s">
        <v>152</v>
      </c>
      <c r="C79" s="13" t="s">
        <v>153</v>
      </c>
      <c r="D79" s="25">
        <v>0</v>
      </c>
      <c r="E79" s="25">
        <v>0</v>
      </c>
      <c r="F79" s="25">
        <v>0</v>
      </c>
      <c r="G79" s="25">
        <v>0</v>
      </c>
      <c r="H79" s="25">
        <v>0</v>
      </c>
      <c r="I79" s="25">
        <v>0</v>
      </c>
      <c r="J79" s="260"/>
      <c r="K79" s="10"/>
      <c r="L79" s="10"/>
      <c r="M79" s="10"/>
      <c r="N79" s="10"/>
      <c r="O79" s="10"/>
      <c r="P79" s="10"/>
      <c r="Q79" s="10"/>
    </row>
    <row r="80" spans="1:17" ht="24" customHeight="1" x14ac:dyDescent="0.2">
      <c r="A80" s="13">
        <v>3</v>
      </c>
      <c r="B80" s="14" t="s">
        <v>154</v>
      </c>
      <c r="C80" s="13" t="s">
        <v>155</v>
      </c>
      <c r="D80" s="25">
        <v>0</v>
      </c>
      <c r="E80" s="25">
        <v>0</v>
      </c>
      <c r="F80" s="16">
        <f>'QTL budget'!J42</f>
        <v>50000</v>
      </c>
      <c r="G80" s="16">
        <f>'QTL budget'!K42+'QTL budget'!K51+'QTL budget'!K78</f>
        <v>0</v>
      </c>
      <c r="H80" s="16">
        <f>'QTL budget'!L42+'QTL budget'!L51+'QTL budget'!L78+'QTL budget'!L90</f>
        <v>22249</v>
      </c>
      <c r="I80" s="25">
        <v>0</v>
      </c>
      <c r="J80" s="260"/>
      <c r="K80" s="10"/>
      <c r="L80" s="10"/>
      <c r="M80" s="10"/>
      <c r="N80" s="10"/>
      <c r="O80" s="10"/>
      <c r="P80" s="10"/>
      <c r="Q80" s="10"/>
    </row>
    <row r="81" spans="1:17" ht="24" x14ac:dyDescent="0.2">
      <c r="A81" s="13">
        <v>4</v>
      </c>
      <c r="B81" s="14" t="s">
        <v>156</v>
      </c>
      <c r="C81" s="13" t="s">
        <v>157</v>
      </c>
      <c r="D81" s="25">
        <v>0</v>
      </c>
      <c r="E81" s="25">
        <v>0</v>
      </c>
      <c r="F81" s="25">
        <v>0</v>
      </c>
      <c r="G81" s="270">
        <v>0</v>
      </c>
      <c r="H81" s="271">
        <f>'QTL budget'!L141</f>
        <v>-9583</v>
      </c>
      <c r="I81" s="25">
        <v>0</v>
      </c>
      <c r="J81" s="260"/>
      <c r="K81" s="10"/>
      <c r="L81" s="10"/>
      <c r="M81" s="10"/>
      <c r="N81" s="10"/>
      <c r="O81" s="10"/>
      <c r="P81" s="10"/>
      <c r="Q81" s="10"/>
    </row>
    <row r="82" spans="1:17" ht="48" x14ac:dyDescent="0.2">
      <c r="A82" s="13">
        <v>5</v>
      </c>
      <c r="B82" s="27" t="s">
        <v>158</v>
      </c>
      <c r="C82" s="145" t="s">
        <v>159</v>
      </c>
      <c r="D82" s="25">
        <v>0</v>
      </c>
      <c r="E82" s="25">
        <v>0</v>
      </c>
      <c r="F82" s="25">
        <f>'QTL budget'!J47</f>
        <v>30000</v>
      </c>
      <c r="G82" s="25">
        <f>'QTL budget'!K47</f>
        <v>0</v>
      </c>
      <c r="H82" s="25">
        <f>'QTL budget'!L47</f>
        <v>0</v>
      </c>
      <c r="I82" s="25">
        <v>0</v>
      </c>
      <c r="J82" s="260"/>
      <c r="K82" s="10"/>
      <c r="L82" s="10"/>
      <c r="M82" s="10"/>
      <c r="N82" s="10"/>
      <c r="O82" s="10"/>
      <c r="P82" s="10"/>
      <c r="Q82" s="10"/>
    </row>
    <row r="83" spans="1:17" ht="24" x14ac:dyDescent="0.2">
      <c r="A83" s="13">
        <v>6</v>
      </c>
      <c r="B83" s="14" t="s">
        <v>160</v>
      </c>
      <c r="C83" s="13" t="s">
        <v>161</v>
      </c>
      <c r="D83" s="25">
        <v>0</v>
      </c>
      <c r="E83" s="25">
        <v>0</v>
      </c>
      <c r="F83" s="16">
        <f>'QTL budget'!J23</f>
        <v>50000</v>
      </c>
      <c r="G83" s="16">
        <f>'QTL budget'!K23</f>
        <v>0</v>
      </c>
      <c r="H83" s="16">
        <f>'QTL budget'!L23</f>
        <v>0</v>
      </c>
      <c r="I83" s="25">
        <v>0</v>
      </c>
      <c r="J83" s="260"/>
      <c r="K83" s="10"/>
      <c r="L83" s="10"/>
      <c r="M83" s="10"/>
      <c r="N83" s="10"/>
      <c r="O83" s="10"/>
      <c r="P83" s="10"/>
      <c r="Q83" s="10"/>
    </row>
    <row r="84" spans="1:17" ht="36" x14ac:dyDescent="0.2">
      <c r="A84" s="13">
        <v>7</v>
      </c>
      <c r="B84" s="14" t="s">
        <v>162</v>
      </c>
      <c r="C84" s="13" t="s">
        <v>163</v>
      </c>
      <c r="D84" s="25">
        <v>0</v>
      </c>
      <c r="E84" s="25">
        <v>0</v>
      </c>
      <c r="F84" s="16">
        <f>'QTL budget'!J63</f>
        <v>0</v>
      </c>
      <c r="G84" s="16">
        <f>'QTL budget'!K63</f>
        <v>0</v>
      </c>
      <c r="H84" s="16">
        <f>'QTL budget'!L63+'QTL budget'!L64</f>
        <v>11725.16</v>
      </c>
      <c r="I84" s="25">
        <v>0</v>
      </c>
      <c r="J84" s="260"/>
      <c r="K84" s="10"/>
      <c r="L84" s="10"/>
      <c r="M84" s="10"/>
      <c r="N84" s="10"/>
      <c r="O84" s="10"/>
      <c r="P84" s="10"/>
      <c r="Q84" s="10"/>
    </row>
    <row r="85" spans="1:17" ht="48" x14ac:dyDescent="0.2">
      <c r="A85" s="13">
        <v>8</v>
      </c>
      <c r="B85" s="14" t="s">
        <v>164</v>
      </c>
      <c r="C85" s="13" t="s">
        <v>165</v>
      </c>
      <c r="D85" s="25">
        <v>0</v>
      </c>
      <c r="E85" s="25">
        <v>0</v>
      </c>
      <c r="F85" s="16">
        <f>'QTL budget'!J75</f>
        <v>30000</v>
      </c>
      <c r="G85" s="16">
        <f>'QTL budget'!K75</f>
        <v>0</v>
      </c>
      <c r="H85" s="16">
        <f>'QTL budget'!L75</f>
        <v>0</v>
      </c>
      <c r="I85" s="25">
        <v>0</v>
      </c>
      <c r="J85" s="260"/>
      <c r="K85" s="10"/>
      <c r="L85" s="10"/>
      <c r="M85" s="10"/>
      <c r="N85" s="10"/>
      <c r="O85" s="10"/>
      <c r="P85" s="10"/>
      <c r="Q85" s="10"/>
    </row>
    <row r="86" spans="1:17" ht="24" x14ac:dyDescent="0.2">
      <c r="A86" s="13">
        <v>9</v>
      </c>
      <c r="B86" s="14" t="s">
        <v>166</v>
      </c>
      <c r="C86" s="13" t="s">
        <v>167</v>
      </c>
      <c r="D86" s="25">
        <v>0</v>
      </c>
      <c r="E86" s="25">
        <v>0</v>
      </c>
      <c r="F86" s="16">
        <f>'QTL budget'!J21</f>
        <v>60000</v>
      </c>
      <c r="G86" s="16">
        <f>'QTL budget'!K21</f>
        <v>0</v>
      </c>
      <c r="H86" s="16">
        <f>'QTL budget'!L92</f>
        <v>0</v>
      </c>
      <c r="I86" s="25">
        <v>0</v>
      </c>
      <c r="J86" s="260"/>
      <c r="K86" s="10"/>
      <c r="L86" s="10"/>
      <c r="M86" s="10"/>
      <c r="N86" s="10"/>
      <c r="O86" s="10"/>
      <c r="P86" s="10"/>
      <c r="Q86" s="10"/>
    </row>
    <row r="87" spans="1:17" ht="26.25" customHeight="1" x14ac:dyDescent="0.2">
      <c r="A87" s="13">
        <v>10</v>
      </c>
      <c r="B87" s="14" t="s">
        <v>168</v>
      </c>
      <c r="C87" s="13" t="s">
        <v>169</v>
      </c>
      <c r="D87" s="25">
        <v>0</v>
      </c>
      <c r="E87" s="25">
        <v>0</v>
      </c>
      <c r="F87" s="16">
        <f>'QTL budget'!J37</f>
        <v>149477.12</v>
      </c>
      <c r="G87" s="16">
        <f>'QTL budget'!K37</f>
        <v>0</v>
      </c>
      <c r="H87" s="16">
        <f>'QTL budget'!L37</f>
        <v>0</v>
      </c>
      <c r="I87" s="25">
        <v>0</v>
      </c>
      <c r="J87" s="260"/>
      <c r="K87" s="10"/>
      <c r="L87" s="10"/>
      <c r="M87" s="10"/>
      <c r="N87" s="10"/>
      <c r="O87" s="10"/>
      <c r="P87" s="10"/>
      <c r="Q87" s="10"/>
    </row>
    <row r="88" spans="1:17" x14ac:dyDescent="0.2">
      <c r="A88" s="13"/>
      <c r="B88" s="14"/>
      <c r="C88" s="13"/>
      <c r="D88" s="15"/>
      <c r="E88" s="15"/>
      <c r="F88" s="16"/>
      <c r="G88" s="16"/>
      <c r="H88" s="16"/>
      <c r="I88" s="16"/>
      <c r="J88" s="260"/>
      <c r="K88" s="10"/>
      <c r="L88" s="10"/>
      <c r="M88" s="10"/>
      <c r="N88" s="10"/>
      <c r="O88" s="10"/>
      <c r="P88" s="10"/>
      <c r="Q88" s="10"/>
    </row>
    <row r="89" spans="1:17" s="19" customFormat="1" x14ac:dyDescent="0.2">
      <c r="A89" s="76"/>
      <c r="B89" s="17" t="s">
        <v>170</v>
      </c>
      <c r="C89" s="11"/>
      <c r="D89" s="18">
        <f>SUM(D78:D88)</f>
        <v>10000</v>
      </c>
      <c r="E89" s="18">
        <f>SUM(E78:E88)</f>
        <v>0</v>
      </c>
      <c r="F89" s="18">
        <f>SUM(F78:F88)</f>
        <v>469477.12</v>
      </c>
      <c r="G89" s="18">
        <f t="shared" ref="G89:I89" si="6">SUM(G78:G88)</f>
        <v>149767.85999999999</v>
      </c>
      <c r="H89" s="18">
        <f>SUM(H78:H88)</f>
        <v>65332.160000000003</v>
      </c>
      <c r="I89" s="18">
        <f t="shared" si="6"/>
        <v>108826.85999999999</v>
      </c>
      <c r="J89" s="276"/>
    </row>
    <row r="90" spans="1:17" s="19" customFormat="1" ht="24" x14ac:dyDescent="0.2">
      <c r="A90" s="11"/>
      <c r="B90" s="17" t="s">
        <v>171</v>
      </c>
      <c r="C90" s="18"/>
      <c r="D90" s="18">
        <f>('CTL budget'!K11*0.1)+'CTL budget'!K14+('CTL budget'!K25*0.5)+('CTL budget'!K46*0.5)</f>
        <v>512587.54560000001</v>
      </c>
      <c r="E90" s="18">
        <f>('CTL budget'!L11*0.1)+'CTL budget'!L14+('CTL budget'!L25*0.5)+('CTL budget'!L46*0.5)</f>
        <v>392809.7</v>
      </c>
      <c r="F90" s="18">
        <v>0</v>
      </c>
      <c r="G90" s="18">
        <v>0</v>
      </c>
      <c r="H90" s="18">
        <v>0</v>
      </c>
      <c r="I90" s="18">
        <v>0</v>
      </c>
      <c r="J90" s="276"/>
    </row>
    <row r="91" spans="1:17" s="19" customFormat="1" ht="12.75" customHeight="1" x14ac:dyDescent="0.2">
      <c r="A91" s="11"/>
      <c r="B91" s="17" t="s">
        <v>172</v>
      </c>
      <c r="C91" s="11"/>
      <c r="D91" s="18">
        <f>D89+D90</f>
        <v>522587.54560000001</v>
      </c>
      <c r="E91" s="18">
        <f>E89+E90</f>
        <v>392809.7</v>
      </c>
      <c r="F91" s="18">
        <f>F89+F90</f>
        <v>469477.12</v>
      </c>
      <c r="G91" s="18">
        <f t="shared" ref="G91:I91" si="7">G89+G90</f>
        <v>149767.85999999999</v>
      </c>
      <c r="H91" s="18">
        <f t="shared" si="7"/>
        <v>65332.160000000003</v>
      </c>
      <c r="I91" s="18">
        <f t="shared" si="7"/>
        <v>108826.85999999999</v>
      </c>
      <c r="J91" s="276"/>
    </row>
    <row r="92" spans="1:17" s="19" customFormat="1" ht="12.75" customHeight="1" x14ac:dyDescent="0.2">
      <c r="A92" s="83"/>
      <c r="B92" s="82"/>
      <c r="C92" s="83"/>
      <c r="D92" s="79"/>
      <c r="E92" s="79"/>
      <c r="F92" s="79"/>
      <c r="G92" s="79"/>
      <c r="H92" s="79"/>
      <c r="I92" s="79"/>
      <c r="J92" s="277"/>
    </row>
    <row r="93" spans="1:17" s="19" customFormat="1" ht="12.75" customHeight="1" x14ac:dyDescent="0.2">
      <c r="A93" s="83"/>
      <c r="B93" s="82"/>
      <c r="C93" s="83"/>
      <c r="D93" s="79"/>
      <c r="E93" s="79"/>
      <c r="F93" s="79"/>
      <c r="G93" s="79"/>
      <c r="H93" s="79"/>
      <c r="I93" s="79"/>
      <c r="J93" s="277"/>
    </row>
    <row r="94" spans="1:17" x14ac:dyDescent="0.2">
      <c r="K94" s="10"/>
      <c r="L94" s="10"/>
      <c r="M94" s="10"/>
      <c r="N94" s="10"/>
      <c r="O94" s="10"/>
      <c r="P94" s="10"/>
      <c r="Q94" s="10"/>
    </row>
    <row r="95" spans="1:17" x14ac:dyDescent="0.2">
      <c r="K95" s="10"/>
      <c r="L95" s="10"/>
      <c r="M95" s="10"/>
      <c r="N95" s="10"/>
      <c r="O95" s="10"/>
      <c r="P95" s="10"/>
      <c r="Q95" s="10"/>
    </row>
    <row r="96" spans="1:17" s="21" customFormat="1" ht="12.75" customHeight="1" x14ac:dyDescent="0.2">
      <c r="A96" s="2" t="s">
        <v>173</v>
      </c>
      <c r="B96" s="2"/>
      <c r="C96" s="29"/>
      <c r="D96" s="20"/>
      <c r="E96" s="20"/>
      <c r="F96" s="20"/>
      <c r="G96" s="20"/>
      <c r="H96" s="20"/>
      <c r="I96" s="20"/>
      <c r="J96" s="20"/>
    </row>
    <row r="97" spans="1:17" x14ac:dyDescent="0.2">
      <c r="K97" s="10"/>
      <c r="L97" s="10"/>
      <c r="M97" s="10"/>
      <c r="N97" s="10"/>
      <c r="O97" s="10"/>
      <c r="P97" s="10"/>
      <c r="Q97" s="10"/>
    </row>
    <row r="98" spans="1:17" ht="21" customHeight="1" x14ac:dyDescent="0.2">
      <c r="A98" s="285" t="s">
        <v>174</v>
      </c>
      <c r="B98" s="285" t="s">
        <v>175</v>
      </c>
      <c r="C98" s="286" t="s">
        <v>176</v>
      </c>
      <c r="D98" s="289" t="s">
        <v>177</v>
      </c>
      <c r="E98" s="290"/>
      <c r="F98" s="289" t="s">
        <v>178</v>
      </c>
      <c r="G98" s="291"/>
      <c r="H98" s="292"/>
      <c r="I98" s="292"/>
      <c r="J98" s="290"/>
      <c r="K98" s="10"/>
      <c r="L98" s="10"/>
      <c r="M98" s="10"/>
      <c r="N98" s="10"/>
      <c r="O98" s="10"/>
      <c r="P98" s="10"/>
      <c r="Q98" s="10"/>
    </row>
    <row r="99" spans="1:17" ht="22.5" customHeight="1" x14ac:dyDescent="0.2">
      <c r="A99" s="285"/>
      <c r="B99" s="285"/>
      <c r="C99" s="287"/>
      <c r="D99" s="142" t="s">
        <v>179</v>
      </c>
      <c r="E99" s="142" t="s">
        <v>180</v>
      </c>
      <c r="F99" s="220" t="s">
        <v>181</v>
      </c>
      <c r="G99" s="220" t="s">
        <v>182</v>
      </c>
      <c r="H99" s="220" t="s">
        <v>183</v>
      </c>
      <c r="I99" s="220" t="s">
        <v>184</v>
      </c>
      <c r="J99" s="142" t="s">
        <v>185</v>
      </c>
      <c r="K99" s="10"/>
      <c r="L99" s="10"/>
      <c r="M99" s="10"/>
      <c r="N99" s="10"/>
      <c r="O99" s="10"/>
      <c r="P99" s="10"/>
      <c r="Q99" s="10"/>
    </row>
    <row r="100" spans="1:17" x14ac:dyDescent="0.2">
      <c r="A100" s="285"/>
      <c r="B100" s="285"/>
      <c r="C100" s="288"/>
      <c r="D100" s="12" t="s">
        <v>186</v>
      </c>
      <c r="E100" s="219" t="s">
        <v>187</v>
      </c>
      <c r="F100" s="219" t="s">
        <v>188</v>
      </c>
      <c r="G100" s="219" t="s">
        <v>189</v>
      </c>
      <c r="H100" s="219" t="s">
        <v>190</v>
      </c>
      <c r="I100" s="219" t="s">
        <v>191</v>
      </c>
      <c r="J100" s="219" t="s">
        <v>192</v>
      </c>
      <c r="K100" s="10"/>
      <c r="L100" s="10"/>
      <c r="M100" s="10"/>
      <c r="N100" s="10"/>
      <c r="O100" s="10"/>
      <c r="P100" s="10"/>
      <c r="Q100" s="10"/>
    </row>
    <row r="101" spans="1:17" x14ac:dyDescent="0.2">
      <c r="K101" s="10"/>
      <c r="L101" s="10"/>
      <c r="M101" s="10"/>
      <c r="N101" s="10"/>
      <c r="O101" s="10"/>
      <c r="P101" s="10"/>
      <c r="Q101" s="10"/>
    </row>
    <row r="102" spans="1:17" ht="36" x14ac:dyDescent="0.2">
      <c r="A102" s="13">
        <v>1</v>
      </c>
      <c r="B102" s="14" t="s">
        <v>193</v>
      </c>
      <c r="C102" s="73" t="s">
        <v>194</v>
      </c>
      <c r="D102" s="15">
        <f>'CTL budget'!K76</f>
        <v>30000</v>
      </c>
      <c r="E102" s="15">
        <f>'CTL budget'!L76</f>
        <v>0</v>
      </c>
      <c r="F102" s="16">
        <f>'QTL budget'!J109</f>
        <v>80000</v>
      </c>
      <c r="G102" s="25">
        <f>'QTL budget'!K109</f>
        <v>0</v>
      </c>
      <c r="H102" s="25">
        <f>'QTL budget'!L109</f>
        <v>0</v>
      </c>
      <c r="I102" s="25">
        <v>0</v>
      </c>
      <c r="J102" s="260" t="s">
        <v>195</v>
      </c>
      <c r="K102" s="10"/>
      <c r="L102" s="10"/>
      <c r="M102" s="10"/>
      <c r="N102" s="10"/>
      <c r="O102" s="10"/>
      <c r="P102" s="10"/>
      <c r="Q102" s="10"/>
    </row>
    <row r="103" spans="1:17" x14ac:dyDescent="0.2">
      <c r="A103" s="13">
        <v>2</v>
      </c>
      <c r="B103" s="7" t="s">
        <v>196</v>
      </c>
      <c r="C103" s="13" t="s">
        <v>197</v>
      </c>
      <c r="D103" s="25">
        <v>0</v>
      </c>
      <c r="E103" s="25">
        <v>0</v>
      </c>
      <c r="F103" s="25">
        <f>'QTL budget'!J136</f>
        <v>30000</v>
      </c>
      <c r="G103" s="16">
        <f>'QTL budget'!K136+'QTL budget'!K139</f>
        <v>0</v>
      </c>
      <c r="H103" s="25">
        <f>'QTL budget'!L136+'QTL budget'!L139</f>
        <v>0</v>
      </c>
      <c r="I103" s="25">
        <f>G103-H103</f>
        <v>0</v>
      </c>
      <c r="J103" s="260"/>
      <c r="K103" s="10"/>
      <c r="L103" s="10"/>
      <c r="M103" s="10"/>
      <c r="N103" s="10"/>
      <c r="O103" s="10"/>
      <c r="P103" s="10"/>
      <c r="Q103" s="10"/>
    </row>
    <row r="104" spans="1:17" ht="36" x14ac:dyDescent="0.2">
      <c r="A104" s="13">
        <v>3</v>
      </c>
      <c r="B104" s="14" t="s">
        <v>198</v>
      </c>
      <c r="C104" s="13" t="s">
        <v>199</v>
      </c>
      <c r="D104" s="15">
        <f>'CTL budget'!K70</f>
        <v>110000</v>
      </c>
      <c r="E104" s="15">
        <f>'CTL budget'!L70</f>
        <v>110000</v>
      </c>
      <c r="F104" s="16">
        <v>0</v>
      </c>
      <c r="G104" s="25">
        <v>0</v>
      </c>
      <c r="H104" s="25">
        <f>'QTL budget'!L98+'QTL budget'!L143+'QTL budget'!L144</f>
        <v>0</v>
      </c>
      <c r="I104" s="25">
        <v>0</v>
      </c>
      <c r="J104" s="260" t="s">
        <v>200</v>
      </c>
      <c r="K104" s="10"/>
      <c r="L104" s="10"/>
      <c r="M104" s="10"/>
      <c r="N104" s="10"/>
      <c r="O104" s="10"/>
      <c r="P104" s="10"/>
      <c r="Q104" s="10"/>
    </row>
    <row r="105" spans="1:17" ht="24" x14ac:dyDescent="0.2">
      <c r="A105" s="13">
        <v>4</v>
      </c>
      <c r="B105" s="14" t="s">
        <v>201</v>
      </c>
      <c r="C105" s="13" t="s">
        <v>202</v>
      </c>
      <c r="D105" s="25">
        <v>0</v>
      </c>
      <c r="E105" s="15">
        <v>0</v>
      </c>
      <c r="F105" s="16">
        <f>'QTL budget'!J46</f>
        <v>50000</v>
      </c>
      <c r="G105" s="25">
        <f>'QTL budget'!K46</f>
        <v>0</v>
      </c>
      <c r="H105" s="16">
        <f>'QTL budget'!L46</f>
        <v>4529</v>
      </c>
      <c r="I105" s="25">
        <v>0</v>
      </c>
      <c r="J105" s="260"/>
      <c r="K105" s="10"/>
      <c r="L105" s="10"/>
      <c r="M105" s="10"/>
      <c r="N105" s="10"/>
      <c r="O105" s="10"/>
      <c r="P105" s="10"/>
      <c r="Q105" s="10"/>
    </row>
    <row r="106" spans="1:17" ht="24" x14ac:dyDescent="0.2">
      <c r="A106" s="13">
        <v>5</v>
      </c>
      <c r="B106" s="80" t="s">
        <v>203</v>
      </c>
      <c r="C106" s="13" t="s">
        <v>204</v>
      </c>
      <c r="D106" s="25">
        <f>'CTL budget'!K113+'CTL budget'!K68</f>
        <v>0</v>
      </c>
      <c r="E106" s="25">
        <f>'CTL budget'!L113+'CTL budget'!L68</f>
        <v>0</v>
      </c>
      <c r="F106" s="16">
        <v>0</v>
      </c>
      <c r="G106" s="25">
        <v>0</v>
      </c>
      <c r="H106" s="25">
        <f>'QTL budget'!L26</f>
        <v>0</v>
      </c>
      <c r="I106" s="25">
        <v>0</v>
      </c>
      <c r="J106" s="260"/>
      <c r="K106" s="10"/>
      <c r="L106" s="10"/>
      <c r="M106" s="10"/>
      <c r="N106" s="10"/>
      <c r="O106" s="10"/>
      <c r="P106" s="10"/>
      <c r="Q106" s="10"/>
    </row>
    <row r="107" spans="1:17" ht="36" x14ac:dyDescent="0.2">
      <c r="A107" s="13">
        <v>6</v>
      </c>
      <c r="B107" s="80" t="s">
        <v>205</v>
      </c>
      <c r="C107" s="13" t="s">
        <v>206</v>
      </c>
      <c r="D107" s="25">
        <v>0</v>
      </c>
      <c r="E107" s="25">
        <v>0</v>
      </c>
      <c r="F107" s="16">
        <f>'QTL budget'!J22</f>
        <v>50000</v>
      </c>
      <c r="G107" s="16">
        <f>'QTL budget'!K22</f>
        <v>0</v>
      </c>
      <c r="H107" s="16">
        <f>'QTL budget'!L22</f>
        <v>0</v>
      </c>
      <c r="I107" s="25">
        <v>0</v>
      </c>
      <c r="J107" s="260"/>
      <c r="K107" s="10"/>
      <c r="L107" s="10"/>
      <c r="M107" s="10"/>
      <c r="N107" s="10"/>
      <c r="O107" s="10"/>
      <c r="P107" s="10"/>
      <c r="Q107" s="10"/>
    </row>
    <row r="108" spans="1:17" ht="24" x14ac:dyDescent="0.2">
      <c r="A108" s="13">
        <v>7</v>
      </c>
      <c r="B108" s="14" t="s">
        <v>207</v>
      </c>
      <c r="C108" s="13" t="s">
        <v>208</v>
      </c>
      <c r="D108" s="25">
        <v>0</v>
      </c>
      <c r="E108" s="25">
        <v>0</v>
      </c>
      <c r="F108" s="16">
        <f>'QTL budget'!J138</f>
        <v>40000</v>
      </c>
      <c r="G108" s="16">
        <f>'QTL budget'!K138</f>
        <v>0</v>
      </c>
      <c r="H108" s="16">
        <f>'QTL budget'!L138</f>
        <v>0</v>
      </c>
      <c r="I108" s="25">
        <v>0</v>
      </c>
      <c r="J108" s="260"/>
      <c r="K108" s="10"/>
      <c r="L108" s="10"/>
      <c r="M108" s="10"/>
      <c r="N108" s="10"/>
      <c r="O108" s="10"/>
      <c r="P108" s="10"/>
      <c r="Q108" s="10"/>
    </row>
    <row r="109" spans="1:17" ht="40.5" customHeight="1" x14ac:dyDescent="0.2">
      <c r="A109" s="13">
        <v>8</v>
      </c>
      <c r="B109" s="14" t="s">
        <v>209</v>
      </c>
      <c r="C109" s="13" t="s">
        <v>210</v>
      </c>
      <c r="D109" s="25">
        <v>0</v>
      </c>
      <c r="E109" s="25">
        <v>0</v>
      </c>
      <c r="F109" s="16">
        <f>'QTL budget'!J65</f>
        <v>0</v>
      </c>
      <c r="G109" s="16">
        <f>'QTL budget'!K65</f>
        <v>0</v>
      </c>
      <c r="H109" s="16">
        <f>'QTL budget'!L65+'QTL budget'!L66</f>
        <v>40796.589999999997</v>
      </c>
      <c r="I109" s="25">
        <v>0</v>
      </c>
      <c r="J109" s="260"/>
      <c r="K109" s="10"/>
      <c r="L109" s="10"/>
      <c r="M109" s="10"/>
      <c r="N109" s="10"/>
      <c r="O109" s="10"/>
      <c r="P109" s="10"/>
      <c r="Q109" s="10"/>
    </row>
    <row r="110" spans="1:17" ht="36" x14ac:dyDescent="0.2">
      <c r="A110" s="13">
        <v>9</v>
      </c>
      <c r="B110" s="27" t="s">
        <v>211</v>
      </c>
      <c r="C110" s="74" t="s">
        <v>212</v>
      </c>
      <c r="D110" s="15">
        <f>'CTL budget'!K71</f>
        <v>10000</v>
      </c>
      <c r="E110" s="15">
        <f>'CTL budget'!L71</f>
        <v>0</v>
      </c>
      <c r="F110" s="16">
        <f>'QTL budget'!J49</f>
        <v>30000</v>
      </c>
      <c r="G110" s="16">
        <f>'QTL budget'!K49</f>
        <v>0</v>
      </c>
      <c r="H110" s="16">
        <f>'QTL budget'!L49</f>
        <v>0</v>
      </c>
      <c r="I110" s="25">
        <v>0</v>
      </c>
      <c r="J110" s="260"/>
      <c r="K110" s="10"/>
      <c r="L110" s="10"/>
      <c r="M110" s="10"/>
      <c r="N110" s="10"/>
      <c r="O110" s="10"/>
      <c r="P110" s="10"/>
      <c r="Q110" s="10"/>
    </row>
    <row r="111" spans="1:17" ht="24" x14ac:dyDescent="0.2">
      <c r="A111" s="13">
        <v>10</v>
      </c>
      <c r="B111" s="14" t="s">
        <v>213</v>
      </c>
      <c r="C111" s="13" t="s">
        <v>214</v>
      </c>
      <c r="D111" s="25">
        <v>0</v>
      </c>
      <c r="E111" s="25">
        <v>0</v>
      </c>
      <c r="F111" s="16">
        <f>'QTL budget'!J77</f>
        <v>20000</v>
      </c>
      <c r="G111" s="16">
        <f>'QTL budget'!K77</f>
        <v>0</v>
      </c>
      <c r="H111" s="16">
        <f>'QTL budget'!L77</f>
        <v>0</v>
      </c>
      <c r="I111" s="25">
        <v>0</v>
      </c>
      <c r="J111" s="260"/>
      <c r="K111" s="10"/>
      <c r="L111" s="10"/>
      <c r="M111" s="10"/>
      <c r="N111" s="10"/>
      <c r="O111" s="10"/>
      <c r="P111" s="10"/>
      <c r="Q111" s="10"/>
    </row>
    <row r="112" spans="1:17" ht="24" x14ac:dyDescent="0.2">
      <c r="A112" s="13">
        <v>11</v>
      </c>
      <c r="B112" s="7" t="s">
        <v>215</v>
      </c>
      <c r="C112" s="13" t="s">
        <v>216</v>
      </c>
      <c r="D112" s="25">
        <v>0</v>
      </c>
      <c r="E112" s="25">
        <v>0</v>
      </c>
      <c r="F112" s="16">
        <f>'QTL budget'!J110</f>
        <v>0</v>
      </c>
      <c r="G112" s="16">
        <f>'QTL budget'!K110+'QTL budget'!K123+'QTL budget'!K124</f>
        <v>0</v>
      </c>
      <c r="H112" s="16">
        <f>'QTL budget'!L110+'QTL budget'!L123+'QTL budget'!L124+'QTL budget'!L69</f>
        <v>642417</v>
      </c>
      <c r="I112" s="25">
        <v>0</v>
      </c>
      <c r="J112" s="260"/>
      <c r="K112" s="10"/>
      <c r="L112" s="10"/>
      <c r="M112" s="10"/>
      <c r="N112" s="10"/>
      <c r="O112" s="10"/>
      <c r="P112" s="10"/>
      <c r="Q112" s="10"/>
    </row>
    <row r="113" spans="1:17" ht="22.5" customHeight="1" x14ac:dyDescent="0.2">
      <c r="A113" s="146">
        <v>12</v>
      </c>
      <c r="B113" s="14" t="s">
        <v>217</v>
      </c>
      <c r="C113" s="13" t="s">
        <v>218</v>
      </c>
      <c r="D113" s="25">
        <v>0</v>
      </c>
      <c r="E113" s="25">
        <v>0</v>
      </c>
      <c r="F113" s="16">
        <f>'QTL budget'!J33</f>
        <v>149477.12</v>
      </c>
      <c r="G113" s="25">
        <f>'QTL budget'!K33</f>
        <v>0</v>
      </c>
      <c r="H113" s="16">
        <f>'QTL budget'!L33</f>
        <v>43560</v>
      </c>
      <c r="I113" s="16">
        <v>0</v>
      </c>
      <c r="J113" s="260"/>
      <c r="K113" s="10"/>
      <c r="L113" s="10"/>
      <c r="M113" s="10"/>
      <c r="N113" s="10"/>
      <c r="O113" s="10"/>
      <c r="P113" s="10"/>
      <c r="Q113" s="10"/>
    </row>
    <row r="114" spans="1:17" x14ac:dyDescent="0.2">
      <c r="A114" s="13"/>
      <c r="B114" s="14"/>
      <c r="C114" s="13"/>
      <c r="D114" s="15"/>
      <c r="E114" s="15"/>
      <c r="F114" s="15"/>
      <c r="G114" s="15"/>
      <c r="H114" s="15"/>
      <c r="I114" s="15"/>
      <c r="J114" s="260"/>
      <c r="K114" s="10"/>
      <c r="L114" s="10"/>
      <c r="M114" s="10"/>
      <c r="N114" s="10"/>
      <c r="O114" s="10"/>
      <c r="P114" s="10"/>
      <c r="Q114" s="10"/>
    </row>
    <row r="115" spans="1:17" s="19" customFormat="1" ht="12.75" customHeight="1" x14ac:dyDescent="0.2">
      <c r="A115" s="76"/>
      <c r="B115" s="17" t="s">
        <v>219</v>
      </c>
      <c r="C115" s="11"/>
      <c r="D115" s="18">
        <f>SUM(D102:D113)</f>
        <v>150000</v>
      </c>
      <c r="E115" s="18">
        <f>SUM(E102:E113)</f>
        <v>110000</v>
      </c>
      <c r="F115" s="18">
        <f>SUM(F102:F113)</f>
        <v>449477.12</v>
      </c>
      <c r="G115" s="18">
        <f t="shared" ref="G115:I115" si="8">SUM(G102:G113)</f>
        <v>0</v>
      </c>
      <c r="H115" s="18">
        <f>SUM(H102:H113)</f>
        <v>731302.59</v>
      </c>
      <c r="I115" s="18">
        <f t="shared" si="8"/>
        <v>0</v>
      </c>
      <c r="J115" s="276"/>
    </row>
    <row r="116" spans="1:17" s="19" customFormat="1" ht="24" x14ac:dyDescent="0.2">
      <c r="A116" s="76"/>
      <c r="B116" s="17" t="s">
        <v>220</v>
      </c>
      <c r="C116" s="18"/>
      <c r="D116" s="18">
        <f>('CTL budget'!K11*0.1)+'CTL budget'!K18+'CTL budget'!K15+('CTL budget'!K25*0.5)+'CTL budget'!K29</f>
        <v>826332.66560000007</v>
      </c>
      <c r="E116" s="18">
        <f>('CTL budget'!L11*0.1)+'CTL budget'!L18+'CTL budget'!L15+('CTL budget'!L25*0.5)+'CTL budget'!L29</f>
        <v>643329.19999999995</v>
      </c>
      <c r="F116" s="18">
        <v>0</v>
      </c>
      <c r="G116" s="18">
        <v>0</v>
      </c>
      <c r="H116" s="18">
        <v>0</v>
      </c>
      <c r="I116" s="18">
        <v>0</v>
      </c>
      <c r="J116" s="276"/>
    </row>
    <row r="117" spans="1:17" s="19" customFormat="1" ht="12.75" customHeight="1" x14ac:dyDescent="0.2">
      <c r="A117" s="76"/>
      <c r="B117" s="17" t="s">
        <v>221</v>
      </c>
      <c r="C117" s="11"/>
      <c r="D117" s="12">
        <f>D115+D116</f>
        <v>976332.66560000007</v>
      </c>
      <c r="E117" s="219">
        <f>E115+E116</f>
        <v>753329.2</v>
      </c>
      <c r="F117" s="18">
        <f>F115+F116</f>
        <v>449477.12</v>
      </c>
      <c r="G117" s="18">
        <f t="shared" ref="G117:I117" si="9">G115+G116</f>
        <v>0</v>
      </c>
      <c r="H117" s="18">
        <f t="shared" si="9"/>
        <v>731302.59</v>
      </c>
      <c r="I117" s="18">
        <f t="shared" si="9"/>
        <v>0</v>
      </c>
      <c r="J117" s="276"/>
    </row>
    <row r="118" spans="1:17" s="19" customFormat="1" ht="12.75" customHeight="1" x14ac:dyDescent="0.2">
      <c r="A118" s="81"/>
      <c r="B118" s="82"/>
      <c r="C118" s="83"/>
      <c r="D118" s="279"/>
      <c r="E118" s="279"/>
      <c r="F118" s="79"/>
      <c r="G118" s="79"/>
      <c r="H118" s="79"/>
      <c r="I118" s="79"/>
      <c r="J118" s="277"/>
    </row>
    <row r="119" spans="1:17" s="19" customFormat="1" ht="12.75" customHeight="1" x14ac:dyDescent="0.2">
      <c r="A119" s="81"/>
      <c r="B119" s="82"/>
      <c r="C119" s="83"/>
      <c r="D119" s="279"/>
      <c r="E119" s="279"/>
      <c r="F119" s="79"/>
      <c r="G119" s="79"/>
      <c r="H119" s="79"/>
      <c r="I119" s="79"/>
      <c r="J119" s="277"/>
    </row>
    <row r="120" spans="1:17" s="19" customFormat="1" x14ac:dyDescent="0.2">
      <c r="A120" s="81"/>
      <c r="B120" s="82"/>
      <c r="C120" s="83"/>
      <c r="D120" s="79"/>
      <c r="E120" s="79"/>
      <c r="F120" s="79"/>
      <c r="G120" s="79"/>
      <c r="H120" s="79"/>
      <c r="I120" s="79"/>
      <c r="J120" s="277"/>
    </row>
    <row r="121" spans="1:17" s="19" customFormat="1" x14ac:dyDescent="0.2">
      <c r="A121" s="81"/>
      <c r="B121" s="82"/>
      <c r="C121" s="83"/>
      <c r="D121" s="79"/>
      <c r="E121" s="79"/>
      <c r="F121" s="79"/>
      <c r="G121" s="79"/>
      <c r="H121" s="79"/>
      <c r="I121" s="79"/>
      <c r="J121" s="277"/>
    </row>
    <row r="122" spans="1:17" s="19" customFormat="1" x14ac:dyDescent="0.2">
      <c r="A122" s="2" t="s">
        <v>222</v>
      </c>
      <c r="B122" s="82"/>
      <c r="C122" s="83"/>
      <c r="D122" s="79"/>
      <c r="E122" s="79"/>
      <c r="F122" s="79"/>
      <c r="G122" s="79"/>
      <c r="H122" s="79"/>
      <c r="I122" s="79"/>
      <c r="J122" s="277"/>
    </row>
    <row r="123" spans="1:17" s="19" customFormat="1" x14ac:dyDescent="0.2">
      <c r="A123" s="2"/>
      <c r="B123" s="82"/>
      <c r="C123" s="83"/>
      <c r="D123" s="79"/>
      <c r="E123" s="79"/>
      <c r="F123" s="79"/>
      <c r="G123" s="79"/>
      <c r="H123" s="79"/>
      <c r="I123" s="79"/>
      <c r="J123" s="277"/>
    </row>
    <row r="124" spans="1:17" ht="21" customHeight="1" x14ac:dyDescent="0.2">
      <c r="A124" s="285" t="s">
        <v>223</v>
      </c>
      <c r="B124" s="285" t="s">
        <v>224</v>
      </c>
      <c r="C124" s="286" t="s">
        <v>225</v>
      </c>
      <c r="D124" s="289" t="s">
        <v>226</v>
      </c>
      <c r="E124" s="290"/>
      <c r="F124" s="289" t="s">
        <v>227</v>
      </c>
      <c r="G124" s="291"/>
      <c r="H124" s="292"/>
      <c r="I124" s="292"/>
      <c r="J124" s="290"/>
      <c r="K124" s="10"/>
      <c r="L124" s="10"/>
      <c r="M124" s="10"/>
      <c r="N124" s="10"/>
      <c r="O124" s="10"/>
      <c r="P124" s="10"/>
      <c r="Q124" s="10"/>
    </row>
    <row r="125" spans="1:17" ht="22.5" customHeight="1" x14ac:dyDescent="0.2">
      <c r="A125" s="285"/>
      <c r="B125" s="285"/>
      <c r="C125" s="287"/>
      <c r="D125" s="142" t="s">
        <v>228</v>
      </c>
      <c r="E125" s="142" t="s">
        <v>229</v>
      </c>
      <c r="F125" s="220" t="s">
        <v>230</v>
      </c>
      <c r="G125" s="220" t="s">
        <v>231</v>
      </c>
      <c r="H125" s="220" t="s">
        <v>232</v>
      </c>
      <c r="I125" s="220" t="s">
        <v>233</v>
      </c>
      <c r="J125" s="142" t="s">
        <v>234</v>
      </c>
      <c r="K125" s="10"/>
      <c r="L125" s="10"/>
      <c r="M125" s="10"/>
      <c r="N125" s="10"/>
      <c r="O125" s="10"/>
      <c r="P125" s="10"/>
      <c r="Q125" s="10"/>
    </row>
    <row r="126" spans="1:17" x14ac:dyDescent="0.2">
      <c r="A126" s="285"/>
      <c r="B126" s="285"/>
      <c r="C126" s="288"/>
      <c r="D126" s="12" t="s">
        <v>235</v>
      </c>
      <c r="E126" s="219" t="s">
        <v>236</v>
      </c>
      <c r="F126" s="219" t="s">
        <v>237</v>
      </c>
      <c r="G126" s="219" t="s">
        <v>238</v>
      </c>
      <c r="H126" s="219" t="s">
        <v>239</v>
      </c>
      <c r="I126" s="219" t="s">
        <v>240</v>
      </c>
      <c r="J126" s="219" t="s">
        <v>241</v>
      </c>
      <c r="K126" s="10"/>
      <c r="L126" s="10"/>
      <c r="M126" s="10"/>
      <c r="N126" s="10"/>
      <c r="O126" s="10"/>
      <c r="P126" s="10"/>
      <c r="Q126" s="10"/>
    </row>
    <row r="127" spans="1:17" x14ac:dyDescent="0.2">
      <c r="B127" s="24"/>
      <c r="C127" s="72"/>
      <c r="K127" s="10"/>
      <c r="L127" s="10"/>
      <c r="M127" s="10"/>
      <c r="N127" s="10"/>
      <c r="O127" s="10"/>
      <c r="P127" s="10"/>
      <c r="Q127" s="10"/>
    </row>
    <row r="128" spans="1:17" ht="36" x14ac:dyDescent="0.2">
      <c r="A128" s="13">
        <v>1</v>
      </c>
      <c r="B128" s="27" t="s">
        <v>242</v>
      </c>
      <c r="C128" s="74" t="s">
        <v>243</v>
      </c>
      <c r="D128" s="25">
        <v>0</v>
      </c>
      <c r="E128" s="25">
        <v>0</v>
      </c>
      <c r="F128" s="25">
        <v>0</v>
      </c>
      <c r="G128" s="25"/>
      <c r="H128" s="25">
        <v>0</v>
      </c>
      <c r="I128" s="25">
        <v>0</v>
      </c>
      <c r="J128" s="266" t="s">
        <v>244</v>
      </c>
      <c r="K128" s="10"/>
      <c r="L128" s="10"/>
      <c r="M128" s="10"/>
      <c r="N128" s="10"/>
      <c r="O128" s="10"/>
      <c r="P128" s="10"/>
      <c r="Q128" s="10"/>
    </row>
    <row r="129" spans="1:17" ht="36" x14ac:dyDescent="0.2">
      <c r="A129" s="13">
        <v>2</v>
      </c>
      <c r="B129" s="27" t="s">
        <v>245</v>
      </c>
      <c r="C129" s="74" t="s">
        <v>246</v>
      </c>
      <c r="D129" s="25">
        <v>0</v>
      </c>
      <c r="E129" s="25">
        <v>0</v>
      </c>
      <c r="F129" s="25">
        <v>0</v>
      </c>
      <c r="G129" s="25"/>
      <c r="H129" s="25">
        <v>0</v>
      </c>
      <c r="I129" s="25">
        <v>0</v>
      </c>
      <c r="J129" s="266" t="s">
        <v>247</v>
      </c>
      <c r="K129" s="10"/>
      <c r="L129" s="10"/>
      <c r="M129" s="10"/>
      <c r="N129" s="10"/>
      <c r="O129" s="10"/>
      <c r="P129" s="10"/>
      <c r="Q129" s="10"/>
    </row>
    <row r="130" spans="1:17" ht="48" x14ac:dyDescent="0.2">
      <c r="A130" s="13">
        <v>3</v>
      </c>
      <c r="B130" s="14" t="s">
        <v>248</v>
      </c>
      <c r="C130" s="74" t="s">
        <v>249</v>
      </c>
      <c r="D130" s="15">
        <f>'CTL budget'!K60</f>
        <v>60000</v>
      </c>
      <c r="E130" s="15">
        <f>'CTL budget'!L60</f>
        <v>53844</v>
      </c>
      <c r="F130" s="25">
        <v>0</v>
      </c>
      <c r="G130" s="25">
        <f>'QTL budget'!K155</f>
        <v>3517.47</v>
      </c>
      <c r="H130" s="272">
        <f>'QTL budget'!L156+'QTL budget'!L155+'QTL budget'!L52</f>
        <v>-1155</v>
      </c>
      <c r="I130" s="272">
        <f>G130-H130</f>
        <v>4672.4699999999993</v>
      </c>
      <c r="J130" s="260" t="s">
        <v>250</v>
      </c>
      <c r="K130" s="10"/>
      <c r="L130" s="10"/>
      <c r="M130" s="10"/>
      <c r="N130" s="10"/>
      <c r="O130" s="10"/>
      <c r="P130" s="10"/>
      <c r="Q130" s="10"/>
    </row>
    <row r="131" spans="1:17" ht="36" x14ac:dyDescent="0.2">
      <c r="A131" s="13">
        <v>4</v>
      </c>
      <c r="B131" s="27" t="s">
        <v>251</v>
      </c>
      <c r="C131" s="74" t="s">
        <v>252</v>
      </c>
      <c r="D131" s="25">
        <v>0</v>
      </c>
      <c r="E131" s="25">
        <v>0</v>
      </c>
      <c r="F131" s="25">
        <f>'QTL budget'!J67</f>
        <v>0</v>
      </c>
      <c r="G131" s="25">
        <f>'QTL budget'!K67+'QTL budget'!K99</f>
        <v>0</v>
      </c>
      <c r="H131" s="25">
        <f>'QTL budget'!L67+'QTL budget'!L99</f>
        <v>0</v>
      </c>
      <c r="I131" s="25">
        <f>G131-H131</f>
        <v>0</v>
      </c>
      <c r="J131" s="260"/>
      <c r="K131" s="10"/>
      <c r="L131" s="10"/>
      <c r="M131" s="10"/>
      <c r="N131" s="10"/>
      <c r="O131" s="10"/>
      <c r="P131" s="10"/>
      <c r="Q131" s="10"/>
    </row>
    <row r="132" spans="1:17" s="19" customFormat="1" x14ac:dyDescent="0.2">
      <c r="A132" s="13"/>
      <c r="B132" s="77"/>
      <c r="C132" s="78"/>
      <c r="D132" s="15"/>
      <c r="E132" s="15"/>
      <c r="F132" s="15"/>
      <c r="G132" s="15"/>
      <c r="H132" s="15"/>
      <c r="I132" s="15"/>
      <c r="J132" s="260"/>
    </row>
    <row r="133" spans="1:17" s="45" customFormat="1" ht="12.75" customHeight="1" x14ac:dyDescent="0.2">
      <c r="A133" s="84"/>
      <c r="B133" s="17" t="s">
        <v>253</v>
      </c>
      <c r="C133" s="85"/>
      <c r="D133" s="18">
        <f>SUM(D128:D131)</f>
        <v>60000</v>
      </c>
      <c r="E133" s="18">
        <f>SUM(E128:E131)</f>
        <v>53844</v>
      </c>
      <c r="F133" s="18">
        <f>SUM(F128:F131)</f>
        <v>0</v>
      </c>
      <c r="G133" s="18">
        <f t="shared" ref="G133:I133" si="10">SUM(G128:G131)</f>
        <v>3517.47</v>
      </c>
      <c r="H133" s="18">
        <f t="shared" si="10"/>
        <v>-1155</v>
      </c>
      <c r="I133" s="18">
        <f t="shared" si="10"/>
        <v>4672.4699999999993</v>
      </c>
      <c r="J133" s="276"/>
    </row>
    <row r="134" spans="1:17" s="45" customFormat="1" x14ac:dyDescent="0.2">
      <c r="A134" s="11"/>
      <c r="B134" s="17" t="s">
        <v>254</v>
      </c>
      <c r="C134" s="18"/>
      <c r="D134" s="18">
        <f>('CTL budget'!K11*0.5)+'CTL budget'!K42</f>
        <v>329109.24800000002</v>
      </c>
      <c r="E134" s="18">
        <f>('CTL budget'!L11*0.5)+'CTL budget'!L42</f>
        <v>269882.5</v>
      </c>
      <c r="F134" s="18">
        <v>0</v>
      </c>
      <c r="G134" s="18">
        <v>0</v>
      </c>
      <c r="H134" s="18">
        <v>0</v>
      </c>
      <c r="I134" s="18">
        <v>0</v>
      </c>
      <c r="J134" s="276"/>
    </row>
    <row r="135" spans="1:17" s="45" customFormat="1" ht="12.75" customHeight="1" x14ac:dyDescent="0.2">
      <c r="A135" s="11"/>
      <c r="B135" s="17" t="s">
        <v>255</v>
      </c>
      <c r="C135" s="85"/>
      <c r="D135" s="18">
        <f>D133+D134</f>
        <v>389109.24800000002</v>
      </c>
      <c r="E135" s="18">
        <f>E133+E134</f>
        <v>323726.5</v>
      </c>
      <c r="F135" s="18">
        <f>F133+F134</f>
        <v>0</v>
      </c>
      <c r="G135" s="18">
        <f t="shared" ref="G135:I135" si="11">G133+G134</f>
        <v>3517.47</v>
      </c>
      <c r="H135" s="18">
        <f t="shared" si="11"/>
        <v>-1155</v>
      </c>
      <c r="I135" s="18">
        <f t="shared" si="11"/>
        <v>4672.4699999999993</v>
      </c>
      <c r="J135" s="276"/>
    </row>
    <row r="136" spans="1:17" s="45" customFormat="1" ht="12.75" customHeight="1" x14ac:dyDescent="0.2">
      <c r="A136" s="83"/>
      <c r="B136" s="82"/>
      <c r="C136" s="280"/>
      <c r="D136" s="79"/>
      <c r="E136" s="79"/>
      <c r="F136" s="79"/>
      <c r="G136" s="79"/>
      <c r="H136" s="79"/>
      <c r="I136" s="79"/>
      <c r="J136" s="277"/>
    </row>
    <row r="137" spans="1:17" s="45" customFormat="1" ht="12.75" customHeight="1" x14ac:dyDescent="0.2">
      <c r="A137" s="83"/>
      <c r="B137" s="82"/>
      <c r="C137" s="280"/>
      <c r="D137" s="79"/>
      <c r="E137" s="79"/>
      <c r="F137" s="79"/>
      <c r="G137" s="79"/>
      <c r="H137" s="79"/>
      <c r="I137" s="79"/>
      <c r="J137" s="277"/>
    </row>
    <row r="138" spans="1:17" x14ac:dyDescent="0.2">
      <c r="A138" s="83"/>
      <c r="B138" s="82"/>
      <c r="C138" s="75"/>
      <c r="D138" s="79"/>
      <c r="E138" s="79"/>
      <c r="F138" s="79"/>
      <c r="G138" s="79"/>
      <c r="H138" s="79"/>
      <c r="I138" s="79"/>
      <c r="J138" s="277"/>
      <c r="K138" s="10"/>
      <c r="L138" s="10"/>
      <c r="M138" s="10"/>
      <c r="N138" s="10"/>
      <c r="O138" s="10"/>
      <c r="P138" s="10"/>
      <c r="Q138" s="10"/>
    </row>
    <row r="139" spans="1:17" x14ac:dyDescent="0.2">
      <c r="A139" s="83"/>
      <c r="B139" s="82"/>
      <c r="C139" s="75"/>
      <c r="D139" s="79"/>
      <c r="E139" s="79"/>
      <c r="F139" s="79"/>
      <c r="G139" s="79"/>
      <c r="H139" s="79"/>
      <c r="I139" s="79"/>
      <c r="J139" s="277"/>
      <c r="K139" s="10"/>
      <c r="L139" s="10"/>
      <c r="M139" s="10"/>
      <c r="N139" s="10"/>
      <c r="O139" s="10"/>
      <c r="P139" s="10"/>
      <c r="Q139" s="10"/>
    </row>
    <row r="140" spans="1:17" ht="12.75" customHeight="1" x14ac:dyDescent="0.2">
      <c r="A140" s="2" t="s">
        <v>256</v>
      </c>
      <c r="B140" s="2"/>
      <c r="C140" s="29"/>
      <c r="D140" s="20"/>
      <c r="E140" s="20"/>
      <c r="F140" s="20"/>
      <c r="G140" s="20"/>
      <c r="H140" s="20"/>
      <c r="I140" s="20"/>
      <c r="J140" s="20"/>
      <c r="K140" s="10"/>
      <c r="L140" s="10"/>
      <c r="M140" s="10"/>
      <c r="N140" s="10"/>
      <c r="O140" s="10"/>
      <c r="P140" s="10"/>
      <c r="Q140" s="10"/>
    </row>
    <row r="141" spans="1:17" ht="12" customHeight="1" x14ac:dyDescent="0.2">
      <c r="K141" s="10"/>
      <c r="L141" s="10"/>
      <c r="M141" s="10"/>
      <c r="N141" s="10"/>
      <c r="O141" s="10"/>
      <c r="P141" s="10"/>
      <c r="Q141" s="10"/>
    </row>
    <row r="142" spans="1:17" ht="21" customHeight="1" x14ac:dyDescent="0.2">
      <c r="A142" s="285" t="s">
        <v>257</v>
      </c>
      <c r="B142" s="285" t="s">
        <v>258</v>
      </c>
      <c r="C142" s="286" t="s">
        <v>259</v>
      </c>
      <c r="D142" s="289" t="s">
        <v>260</v>
      </c>
      <c r="E142" s="290"/>
      <c r="F142" s="289" t="s">
        <v>261</v>
      </c>
      <c r="G142" s="291"/>
      <c r="H142" s="292"/>
      <c r="I142" s="292"/>
      <c r="J142" s="290"/>
      <c r="K142" s="10"/>
      <c r="L142" s="10"/>
      <c r="M142" s="10"/>
      <c r="N142" s="10"/>
      <c r="O142" s="10"/>
      <c r="P142" s="10"/>
      <c r="Q142" s="10"/>
    </row>
    <row r="143" spans="1:17" ht="28.5" customHeight="1" x14ac:dyDescent="0.2">
      <c r="A143" s="285"/>
      <c r="B143" s="285"/>
      <c r="C143" s="287"/>
      <c r="D143" s="142" t="s">
        <v>262</v>
      </c>
      <c r="E143" s="142" t="s">
        <v>263</v>
      </c>
      <c r="F143" s="220" t="s">
        <v>264</v>
      </c>
      <c r="G143" s="220" t="s">
        <v>265</v>
      </c>
      <c r="H143" s="220" t="s">
        <v>266</v>
      </c>
      <c r="I143" s="220" t="s">
        <v>267</v>
      </c>
      <c r="J143" s="142" t="s">
        <v>268</v>
      </c>
      <c r="K143" s="10"/>
      <c r="L143" s="10"/>
      <c r="M143" s="10"/>
      <c r="N143" s="10"/>
      <c r="O143" s="10"/>
      <c r="P143" s="10"/>
      <c r="Q143" s="10"/>
    </row>
    <row r="144" spans="1:17" x14ac:dyDescent="0.2">
      <c r="A144" s="285"/>
      <c r="B144" s="285"/>
      <c r="C144" s="288"/>
      <c r="D144" s="12" t="s">
        <v>269</v>
      </c>
      <c r="E144" s="219" t="s">
        <v>270</v>
      </c>
      <c r="F144" s="219" t="s">
        <v>271</v>
      </c>
      <c r="G144" s="219" t="s">
        <v>272</v>
      </c>
      <c r="H144" s="219" t="s">
        <v>273</v>
      </c>
      <c r="I144" s="219" t="s">
        <v>274</v>
      </c>
      <c r="J144" s="219" t="s">
        <v>275</v>
      </c>
      <c r="K144" s="10"/>
      <c r="L144" s="10"/>
      <c r="M144" s="10"/>
      <c r="N144" s="10"/>
      <c r="O144" s="10"/>
      <c r="P144" s="10"/>
      <c r="Q144" s="10"/>
    </row>
    <row r="145" spans="1:17" x14ac:dyDescent="0.2">
      <c r="B145" s="24"/>
      <c r="C145" s="72"/>
      <c r="K145" s="10"/>
      <c r="L145" s="10"/>
      <c r="M145" s="10"/>
      <c r="N145" s="10"/>
      <c r="O145" s="10"/>
      <c r="P145" s="10"/>
      <c r="Q145" s="10"/>
    </row>
    <row r="146" spans="1:17" ht="24.75" customHeight="1" x14ac:dyDescent="0.2">
      <c r="A146" s="13">
        <v>1</v>
      </c>
      <c r="B146" s="27" t="s">
        <v>276</v>
      </c>
      <c r="C146" s="74" t="s">
        <v>277</v>
      </c>
      <c r="D146" s="15">
        <f>'CTL budget'!K97</f>
        <v>130000</v>
      </c>
      <c r="E146" s="15">
        <f>'CTL budget'!L97</f>
        <v>139228</v>
      </c>
      <c r="F146" s="25">
        <v>0</v>
      </c>
      <c r="G146" s="25">
        <v>0</v>
      </c>
      <c r="H146" s="25">
        <v>0</v>
      </c>
      <c r="I146" s="25">
        <f>G146-H146</f>
        <v>0</v>
      </c>
      <c r="J146" s="260" t="s">
        <v>278</v>
      </c>
      <c r="K146" s="10"/>
      <c r="L146" s="10"/>
      <c r="M146" s="10"/>
      <c r="N146" s="10"/>
      <c r="O146" s="10"/>
      <c r="P146" s="10"/>
      <c r="Q146" s="10"/>
    </row>
    <row r="147" spans="1:17" ht="24" x14ac:dyDescent="0.2">
      <c r="A147" s="13">
        <v>2</v>
      </c>
      <c r="B147" s="27" t="s">
        <v>279</v>
      </c>
      <c r="C147" s="74" t="s">
        <v>280</v>
      </c>
      <c r="D147" s="15">
        <f>'CTL budget'!K89+'CTL budget'!K93</f>
        <v>40000</v>
      </c>
      <c r="E147" s="15">
        <f>'CTL budget'!L89+'CTL budget'!L93</f>
        <v>26170</v>
      </c>
      <c r="F147" s="16">
        <f>'QTL budget'!J131</f>
        <v>0</v>
      </c>
      <c r="G147" s="16">
        <f>'QTL budget'!K131</f>
        <v>0</v>
      </c>
      <c r="H147" s="16">
        <f>'QTL budget'!L131</f>
        <v>0</v>
      </c>
      <c r="I147" s="25">
        <f t="shared" ref="I147:I150" si="12">G147-H147</f>
        <v>0</v>
      </c>
      <c r="J147" s="260"/>
      <c r="K147" s="10"/>
      <c r="L147" s="10"/>
      <c r="M147" s="10"/>
      <c r="N147" s="10"/>
      <c r="O147" s="10"/>
      <c r="P147" s="10"/>
      <c r="Q147" s="10"/>
    </row>
    <row r="148" spans="1:17" ht="48" x14ac:dyDescent="0.2">
      <c r="A148" s="13">
        <v>3</v>
      </c>
      <c r="B148" s="27" t="s">
        <v>281</v>
      </c>
      <c r="C148" s="74" t="s">
        <v>282</v>
      </c>
      <c r="D148" s="15">
        <f>'CTL budget'!K104</f>
        <v>45000</v>
      </c>
      <c r="E148" s="15">
        <f>'CTL budget'!L104</f>
        <v>41181</v>
      </c>
      <c r="F148" s="25">
        <v>0</v>
      </c>
      <c r="G148" s="25">
        <v>0</v>
      </c>
      <c r="H148" s="25">
        <v>0</v>
      </c>
      <c r="I148" s="25">
        <f t="shared" si="12"/>
        <v>0</v>
      </c>
      <c r="J148" s="260" t="s">
        <v>283</v>
      </c>
      <c r="K148" s="10"/>
      <c r="L148" s="10"/>
      <c r="M148" s="10"/>
      <c r="N148" s="10"/>
      <c r="O148" s="10"/>
      <c r="P148" s="10"/>
      <c r="Q148" s="10"/>
    </row>
    <row r="149" spans="1:17" ht="24" x14ac:dyDescent="0.2">
      <c r="A149" s="13">
        <v>4</v>
      </c>
      <c r="B149" s="27" t="s">
        <v>284</v>
      </c>
      <c r="C149" s="74" t="s">
        <v>285</v>
      </c>
      <c r="D149" s="15">
        <f>'CTL budget'!K117</f>
        <v>60000</v>
      </c>
      <c r="E149" s="15">
        <f>'CTL budget'!L117</f>
        <v>60563</v>
      </c>
      <c r="F149" s="25">
        <v>0</v>
      </c>
      <c r="G149" s="25">
        <v>0</v>
      </c>
      <c r="H149" s="25">
        <v>0</v>
      </c>
      <c r="I149" s="25">
        <f t="shared" si="12"/>
        <v>0</v>
      </c>
      <c r="J149" s="260" t="s">
        <v>286</v>
      </c>
      <c r="K149" s="10"/>
      <c r="L149" s="10"/>
      <c r="M149" s="10"/>
      <c r="N149" s="10"/>
      <c r="O149" s="10"/>
      <c r="P149" s="10"/>
      <c r="Q149" s="10"/>
    </row>
    <row r="150" spans="1:17" ht="24" x14ac:dyDescent="0.2">
      <c r="A150" s="13">
        <v>5</v>
      </c>
      <c r="B150" s="27" t="s">
        <v>287</v>
      </c>
      <c r="C150" s="74" t="s">
        <v>288</v>
      </c>
      <c r="D150" s="15">
        <f>'CTL budget'!K122+'CTL budget'!K126</f>
        <v>15000</v>
      </c>
      <c r="E150" s="15">
        <f>'CTL budget'!L122+'CTL budget'!L126</f>
        <v>894</v>
      </c>
      <c r="F150" s="25">
        <v>0</v>
      </c>
      <c r="G150" s="25">
        <v>0</v>
      </c>
      <c r="H150" s="25">
        <v>0</v>
      </c>
      <c r="I150" s="25">
        <f t="shared" si="12"/>
        <v>0</v>
      </c>
      <c r="J150" s="260" t="s">
        <v>289</v>
      </c>
      <c r="K150" s="10"/>
      <c r="L150" s="10"/>
      <c r="M150" s="10"/>
      <c r="N150" s="10"/>
      <c r="O150" s="10"/>
      <c r="P150" s="10"/>
      <c r="Q150" s="10"/>
    </row>
    <row r="151" spans="1:17" s="19" customFormat="1" x14ac:dyDescent="0.2">
      <c r="A151" s="13"/>
      <c r="B151" s="77"/>
      <c r="C151" s="78"/>
      <c r="D151" s="15"/>
      <c r="E151" s="15"/>
      <c r="F151" s="15"/>
      <c r="G151" s="15"/>
      <c r="H151" s="15"/>
      <c r="I151" s="15"/>
      <c r="J151" s="260"/>
    </row>
    <row r="152" spans="1:17" s="45" customFormat="1" ht="12.75" customHeight="1" x14ac:dyDescent="0.2">
      <c r="A152" s="84"/>
      <c r="B152" s="17" t="s">
        <v>290</v>
      </c>
      <c r="C152" s="85"/>
      <c r="D152" s="18">
        <f>SUM(D146:D150)</f>
        <v>290000</v>
      </c>
      <c r="E152" s="18">
        <f>SUM(E146:E150)</f>
        <v>268036</v>
      </c>
      <c r="F152" s="18">
        <f>SUM(F146:F150)</f>
        <v>0</v>
      </c>
      <c r="G152" s="25">
        <f t="shared" ref="G152:I152" si="13">SUM(G146:G150)</f>
        <v>0</v>
      </c>
      <c r="H152" s="25">
        <f t="shared" si="13"/>
        <v>0</v>
      </c>
      <c r="I152" s="25">
        <f t="shared" si="13"/>
        <v>0</v>
      </c>
      <c r="J152" s="276"/>
    </row>
    <row r="153" spans="1:17" s="45" customFormat="1" x14ac:dyDescent="0.2">
      <c r="A153" s="11"/>
      <c r="B153" s="17" t="s">
        <v>291</v>
      </c>
      <c r="C153" s="85"/>
      <c r="D153" s="25">
        <v>0</v>
      </c>
      <c r="E153" s="25">
        <v>0</v>
      </c>
      <c r="F153" s="25">
        <v>0</v>
      </c>
      <c r="G153" s="25">
        <v>0</v>
      </c>
      <c r="H153" s="25">
        <v>0</v>
      </c>
      <c r="I153" s="25">
        <v>0</v>
      </c>
      <c r="J153" s="260"/>
    </row>
    <row r="154" spans="1:17" s="45" customFormat="1" ht="12.75" customHeight="1" x14ac:dyDescent="0.2">
      <c r="A154" s="11"/>
      <c r="B154" s="17" t="s">
        <v>292</v>
      </c>
      <c r="C154" s="85"/>
      <c r="D154" s="18">
        <f>D152+D153</f>
        <v>290000</v>
      </c>
      <c r="E154" s="18">
        <f>E152+E153</f>
        <v>268036</v>
      </c>
      <c r="F154" s="18">
        <f>F152+F153</f>
        <v>0</v>
      </c>
      <c r="G154" s="25">
        <f t="shared" ref="G154:I154" si="14">G152+G153</f>
        <v>0</v>
      </c>
      <c r="H154" s="25">
        <f t="shared" si="14"/>
        <v>0</v>
      </c>
      <c r="I154" s="25">
        <f t="shared" si="14"/>
        <v>0</v>
      </c>
      <c r="J154" s="276"/>
    </row>
    <row r="155" spans="1:17" x14ac:dyDescent="0.2">
      <c r="K155" s="10"/>
      <c r="L155" s="10"/>
      <c r="M155" s="10"/>
      <c r="N155" s="10"/>
      <c r="O155" s="10"/>
      <c r="P155" s="10"/>
      <c r="Q155" s="10"/>
    </row>
    <row r="156" spans="1:17" x14ac:dyDescent="0.2">
      <c r="A156" s="10"/>
      <c r="B156" s="2" t="s">
        <v>293</v>
      </c>
      <c r="C156" s="22"/>
      <c r="D156" s="86">
        <f>D154+D135+D117+D91+D67+D46+D23</f>
        <v>5325742.4960000003</v>
      </c>
      <c r="E156" s="86">
        <f>E154+E135+E117+E91+E67+E46+E23</f>
        <v>3959002</v>
      </c>
      <c r="F156" s="86">
        <f>F154+F135+F117+F91+F67+F46+F23</f>
        <v>4606218.88</v>
      </c>
      <c r="G156" s="86">
        <f>G154+G135+G117+G91+G67+G46+G23</f>
        <v>409513.13</v>
      </c>
      <c r="H156" s="86">
        <f>H154+H135+H117+H91+H67+H46+H23</f>
        <v>1299819.92</v>
      </c>
      <c r="I156" s="86">
        <f t="shared" ref="I156" si="15">I154+I135+I117+I91+I67+I46+I23</f>
        <v>334104.13</v>
      </c>
      <c r="J156" s="267"/>
      <c r="K156" s="10"/>
      <c r="L156" s="10"/>
      <c r="M156" s="10"/>
      <c r="N156" s="10"/>
      <c r="O156" s="10"/>
      <c r="P156" s="10"/>
      <c r="Q156" s="10"/>
    </row>
    <row r="157" spans="1:17" s="19" customFormat="1" x14ac:dyDescent="0.2">
      <c r="A157" s="22"/>
      <c r="B157" s="23" t="s">
        <v>294</v>
      </c>
      <c r="C157" s="22"/>
      <c r="D157" s="87">
        <f>D156*0.13</f>
        <v>692346.52448000002</v>
      </c>
      <c r="E157" s="87">
        <f>E156*0.13</f>
        <v>514670.26</v>
      </c>
      <c r="F157" s="87">
        <f>F156*0.13</f>
        <v>598808.45440000005</v>
      </c>
      <c r="G157" s="87">
        <v>0</v>
      </c>
      <c r="H157" s="87">
        <f>'QTL budget'!L161</f>
        <v>112054.26999999999</v>
      </c>
      <c r="I157" s="87">
        <f t="shared" ref="I157" si="16">I156*0.13</f>
        <v>43433.536899999999</v>
      </c>
      <c r="J157" s="268"/>
    </row>
    <row r="158" spans="1:17" s="19" customFormat="1" x14ac:dyDescent="0.2">
      <c r="A158" s="22"/>
      <c r="B158" s="23" t="s">
        <v>295</v>
      </c>
      <c r="C158" s="22"/>
      <c r="D158" s="86">
        <f>D156+D157</f>
        <v>6018089.0204800004</v>
      </c>
      <c r="E158" s="86">
        <f>E156+E157</f>
        <v>4473672.26</v>
      </c>
      <c r="F158" s="86">
        <f>F156+F157</f>
        <v>5205027.3344000001</v>
      </c>
      <c r="G158" s="86">
        <f>G156+G157</f>
        <v>409513.13</v>
      </c>
      <c r="H158" s="86">
        <f t="shared" ref="H158:I158" si="17">H156+H157</f>
        <v>1411874.19</v>
      </c>
      <c r="I158" s="86">
        <f t="shared" si="17"/>
        <v>377537.66690000001</v>
      </c>
      <c r="J158" s="267"/>
    </row>
    <row r="159" spans="1:17" x14ac:dyDescent="0.2">
      <c r="K159" s="10"/>
      <c r="L159" s="10"/>
      <c r="M159" s="10"/>
      <c r="N159" s="10"/>
      <c r="O159" s="10"/>
      <c r="P159" s="10"/>
      <c r="Q159" s="10"/>
    </row>
    <row r="166" spans="1:17" ht="15" customHeight="1" x14ac:dyDescent="0.2">
      <c r="B166" s="23" t="s">
        <v>296</v>
      </c>
    </row>
    <row r="167" spans="1:17" x14ac:dyDescent="0.2">
      <c r="B167" s="7" t="s">
        <v>297</v>
      </c>
    </row>
    <row r="168" spans="1:17" ht="15" customHeight="1" x14ac:dyDescent="0.2">
      <c r="B168" s="284" t="s">
        <v>298</v>
      </c>
      <c r="C168" s="284"/>
      <c r="D168" s="284"/>
      <c r="E168" s="284"/>
      <c r="F168" s="284"/>
      <c r="G168" s="225"/>
      <c r="H168" s="225"/>
      <c r="I168" s="221"/>
    </row>
    <row r="170" spans="1:17" s="19" customFormat="1" x14ac:dyDescent="0.2">
      <c r="A170" s="6"/>
      <c r="B170" s="7"/>
      <c r="C170" s="6"/>
      <c r="D170" s="8"/>
      <c r="E170" s="8"/>
      <c r="F170" s="8"/>
      <c r="G170" s="8"/>
      <c r="H170" s="8"/>
      <c r="I170" s="8"/>
      <c r="J170" s="268"/>
      <c r="K170" s="8"/>
      <c r="L170" s="8"/>
      <c r="M170" s="8"/>
      <c r="N170" s="8"/>
      <c r="O170" s="9"/>
      <c r="P170" s="9"/>
      <c r="Q170" s="9"/>
    </row>
  </sheetData>
  <mergeCells count="37">
    <mergeCell ref="F98:J98"/>
    <mergeCell ref="F124:J124"/>
    <mergeCell ref="F142:J142"/>
    <mergeCell ref="D30:E30"/>
    <mergeCell ref="F30:J30"/>
    <mergeCell ref="D53:E53"/>
    <mergeCell ref="D74:E74"/>
    <mergeCell ref="D98:E98"/>
    <mergeCell ref="A1:B1"/>
    <mergeCell ref="A8:A10"/>
    <mergeCell ref="B8:B10"/>
    <mergeCell ref="C8:C10"/>
    <mergeCell ref="D8:E8"/>
    <mergeCell ref="F8:J8"/>
    <mergeCell ref="C30:C32"/>
    <mergeCell ref="A30:A32"/>
    <mergeCell ref="B30:B32"/>
    <mergeCell ref="A53:A55"/>
    <mergeCell ref="B53:B55"/>
    <mergeCell ref="C53:C55"/>
    <mergeCell ref="F53:J53"/>
    <mergeCell ref="B168:F168"/>
    <mergeCell ref="A74:A76"/>
    <mergeCell ref="B74:B76"/>
    <mergeCell ref="C74:C76"/>
    <mergeCell ref="A142:A144"/>
    <mergeCell ref="B142:B144"/>
    <mergeCell ref="A98:A100"/>
    <mergeCell ref="B98:B100"/>
    <mergeCell ref="C98:C100"/>
    <mergeCell ref="A124:A126"/>
    <mergeCell ref="C142:C144"/>
    <mergeCell ref="C124:C126"/>
    <mergeCell ref="B124:B126"/>
    <mergeCell ref="D124:E124"/>
    <mergeCell ref="D142:E142"/>
    <mergeCell ref="F74:J74"/>
  </mergeCells>
  <phoneticPr fontId="2" type="noConversion"/>
  <printOptions horizontalCentered="1"/>
  <pageMargins left="0" right="0" top="0.39370078740157483" bottom="0.39370078740157483" header="0.51181102362204722" footer="0.27559055118110237"/>
  <pageSetup paperSize="9" scale="70" orientation="portrait" r:id="rId1"/>
  <headerFooter alignWithMargins="0">
    <oddFooter>&amp;CAnnex 2 – p. &amp;P</oddFooter>
  </headerFooter>
  <rowBreaks count="3" manualBreakCount="3">
    <brk id="48" max="16383" man="1"/>
    <brk id="93" max="16383" man="1"/>
    <brk id="137"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44"/>
  <sheetViews>
    <sheetView workbookViewId="0">
      <pane xSplit="8" ySplit="7" topLeftCell="I11" activePane="bottomRight" state="frozen"/>
      <selection pane="topRight" activeCell="I1" sqref="I1"/>
      <selection pane="bottomLeft" activeCell="A8" sqref="A8"/>
      <selection pane="bottomRight" activeCell="L35" sqref="L35"/>
    </sheetView>
  </sheetViews>
  <sheetFormatPr defaultRowHeight="12.75" x14ac:dyDescent="0.2"/>
  <cols>
    <col min="1" max="1" width="9.42578125" customWidth="1"/>
    <col min="2" max="2" width="43.7109375" customWidth="1"/>
    <col min="3" max="4" width="0" hidden="1" customWidth="1"/>
    <col min="5" max="6" width="12.7109375" hidden="1" customWidth="1"/>
    <col min="7" max="7" width="1.7109375" hidden="1" customWidth="1"/>
    <col min="8" max="8" width="12.7109375" customWidth="1"/>
    <col min="9" max="9" width="12.7109375" style="237" customWidth="1"/>
    <col min="10" max="10" width="3.140625" customWidth="1"/>
    <col min="11" max="11" width="12.7109375" customWidth="1"/>
    <col min="12" max="12" width="12.7109375" style="176" customWidth="1"/>
    <col min="13" max="13" width="4.5703125" customWidth="1"/>
    <col min="14" max="14" width="12.7109375" customWidth="1"/>
    <col min="15" max="15" width="15.42578125" customWidth="1"/>
    <col min="18" max="18" width="11.28515625" bestFit="1" customWidth="1"/>
    <col min="19" max="20" width="10.28515625" bestFit="1" customWidth="1"/>
    <col min="21" max="21" width="12.7109375" bestFit="1" customWidth="1"/>
  </cols>
  <sheetData>
    <row r="1" spans="1:20" ht="21" x14ac:dyDescent="0.35">
      <c r="A1" s="295" t="s">
        <v>299</v>
      </c>
      <c r="B1" s="295"/>
      <c r="N1" s="30"/>
    </row>
    <row r="2" spans="1:20" x14ac:dyDescent="0.2">
      <c r="A2" s="31" t="s">
        <v>300</v>
      </c>
    </row>
    <row r="3" spans="1:20" x14ac:dyDescent="0.2">
      <c r="A3" s="302" t="s">
        <v>301</v>
      </c>
      <c r="B3" s="302"/>
      <c r="C3" s="302"/>
      <c r="D3" s="302"/>
      <c r="E3" s="302"/>
      <c r="F3" s="302"/>
      <c r="G3" s="302"/>
      <c r="H3" s="302"/>
      <c r="I3" s="302"/>
      <c r="J3" s="302"/>
      <c r="K3" s="302"/>
      <c r="L3" s="302"/>
      <c r="M3" s="302"/>
      <c r="N3" s="302"/>
    </row>
    <row r="5" spans="1:20" x14ac:dyDescent="0.2">
      <c r="A5" s="303" t="s">
        <v>302</v>
      </c>
      <c r="B5" s="305" t="s">
        <v>303</v>
      </c>
      <c r="C5" s="305"/>
      <c r="D5" s="305"/>
      <c r="E5" s="298">
        <v>2012</v>
      </c>
      <c r="F5" s="298">
        <v>2013</v>
      </c>
      <c r="G5" s="298"/>
      <c r="H5" s="296">
        <v>2014</v>
      </c>
      <c r="I5" s="308">
        <v>2014</v>
      </c>
      <c r="J5" s="222"/>
      <c r="K5" s="296">
        <v>2015</v>
      </c>
      <c r="L5" s="310">
        <v>2015</v>
      </c>
      <c r="M5" s="226"/>
      <c r="N5" s="296">
        <v>2016</v>
      </c>
      <c r="R5" s="296">
        <v>2017</v>
      </c>
      <c r="S5" s="296">
        <v>2018</v>
      </c>
      <c r="T5" s="296">
        <v>2018</v>
      </c>
    </row>
    <row r="6" spans="1:20" x14ac:dyDescent="0.2">
      <c r="A6" s="304"/>
      <c r="B6" s="305"/>
      <c r="C6" s="307"/>
      <c r="D6" s="305"/>
      <c r="E6" s="299"/>
      <c r="F6" s="299"/>
      <c r="G6" s="306"/>
      <c r="H6" s="297"/>
      <c r="I6" s="309"/>
      <c r="J6" s="223"/>
      <c r="K6" s="297"/>
      <c r="L6" s="309"/>
      <c r="M6" s="227"/>
      <c r="N6" s="297"/>
      <c r="R6" s="297"/>
      <c r="S6" s="297"/>
      <c r="T6" s="297"/>
    </row>
    <row r="7" spans="1:20" ht="21" customHeight="1" x14ac:dyDescent="0.2">
      <c r="A7" s="304"/>
      <c r="B7" s="305"/>
      <c r="C7" s="307"/>
      <c r="D7" s="305"/>
      <c r="E7" s="298" t="s">
        <v>304</v>
      </c>
      <c r="F7" s="298" t="s">
        <v>305</v>
      </c>
      <c r="G7" s="306"/>
      <c r="H7" s="300" t="s">
        <v>306</v>
      </c>
      <c r="I7" s="238" t="s">
        <v>307</v>
      </c>
      <c r="J7" s="230"/>
      <c r="K7" s="300" t="s">
        <v>308</v>
      </c>
      <c r="L7" s="238" t="s">
        <v>309</v>
      </c>
      <c r="M7" s="228"/>
      <c r="N7" s="300" t="s">
        <v>310</v>
      </c>
      <c r="R7" s="300" t="s">
        <v>311</v>
      </c>
      <c r="S7" s="300" t="s">
        <v>312</v>
      </c>
      <c r="T7" s="300" t="s">
        <v>313</v>
      </c>
    </row>
    <row r="8" spans="1:20" x14ac:dyDescent="0.2">
      <c r="A8" s="304"/>
      <c r="B8" s="305"/>
      <c r="C8" s="307"/>
      <c r="D8" s="305"/>
      <c r="E8" s="299"/>
      <c r="F8" s="299"/>
      <c r="G8" s="299"/>
      <c r="H8" s="301"/>
      <c r="I8" s="239"/>
      <c r="J8" s="224"/>
      <c r="K8" s="301"/>
      <c r="L8" s="278"/>
      <c r="M8" s="229"/>
      <c r="N8" s="301"/>
      <c r="R8" s="301"/>
      <c r="S8" s="301"/>
      <c r="T8" s="301"/>
    </row>
    <row r="9" spans="1:20" ht="12.75" customHeight="1" x14ac:dyDescent="0.2">
      <c r="A9" s="39"/>
      <c r="B9" s="44"/>
      <c r="C9" s="45"/>
      <c r="D9" s="37"/>
      <c r="E9" s="46"/>
      <c r="F9" s="46"/>
      <c r="G9" s="37"/>
      <c r="H9" s="46"/>
      <c r="I9" s="240"/>
      <c r="J9" s="46"/>
      <c r="K9" s="46"/>
      <c r="L9" s="52"/>
      <c r="M9" s="46"/>
      <c r="N9" s="46"/>
    </row>
    <row r="10" spans="1:20" ht="12.75" customHeight="1" x14ac:dyDescent="0.2">
      <c r="A10" s="35">
        <v>10</v>
      </c>
      <c r="B10" s="36" t="s">
        <v>314</v>
      </c>
      <c r="C10" s="37" t="s">
        <v>315</v>
      </c>
      <c r="D10" s="37" t="s">
        <v>316</v>
      </c>
      <c r="E10" s="37"/>
      <c r="F10" s="37"/>
      <c r="G10" s="37"/>
      <c r="H10" s="38"/>
      <c r="I10" s="241"/>
      <c r="J10" s="38"/>
      <c r="K10" s="28"/>
      <c r="L10" s="28"/>
      <c r="M10" s="28"/>
      <c r="N10" s="38"/>
    </row>
    <row r="11" spans="1:20" s="176" customFormat="1" ht="12.75" customHeight="1" x14ac:dyDescent="0.2">
      <c r="A11" s="177">
        <v>1101</v>
      </c>
      <c r="B11" s="178" t="s">
        <v>317</v>
      </c>
      <c r="C11" s="175"/>
      <c r="D11" s="41"/>
      <c r="E11" s="41"/>
      <c r="F11" s="41"/>
      <c r="G11" s="41"/>
      <c r="H11" s="179">
        <v>345446.40000000002</v>
      </c>
      <c r="I11" s="235">
        <v>317445.32</v>
      </c>
      <c r="J11" s="233"/>
      <c r="K11" s="179">
        <v>359264.25600000005</v>
      </c>
      <c r="L11" s="38">
        <v>311447</v>
      </c>
      <c r="M11" s="179"/>
      <c r="N11" s="179">
        <v>373634.82624000008</v>
      </c>
      <c r="O11" s="180">
        <v>1</v>
      </c>
      <c r="P11" s="176" t="s">
        <v>318</v>
      </c>
      <c r="R11" s="210">
        <f>'Standard Salary Costs'!I11</f>
        <v>332550.40000000002</v>
      </c>
      <c r="S11" s="210">
        <f>'Standard Salary Costs'!J11</f>
        <v>345852.41600000003</v>
      </c>
      <c r="T11" s="210">
        <f>'Standard Salary Costs'!K11</f>
        <v>359686.51264000003</v>
      </c>
    </row>
    <row r="12" spans="1:20" s="176" customFormat="1" ht="12.75" customHeight="1" x14ac:dyDescent="0.2">
      <c r="A12" s="177">
        <v>1102</v>
      </c>
      <c r="B12" s="178" t="s">
        <v>319</v>
      </c>
      <c r="C12" s="175"/>
      <c r="D12" s="41"/>
      <c r="E12" s="41"/>
      <c r="F12" s="41"/>
      <c r="G12" s="41"/>
      <c r="H12" s="179">
        <v>0</v>
      </c>
      <c r="I12" s="235">
        <v>0</v>
      </c>
      <c r="J12" s="233"/>
      <c r="K12" s="179">
        <v>0</v>
      </c>
      <c r="L12" s="38">
        <v>0</v>
      </c>
      <c r="M12" s="179"/>
      <c r="N12" s="179">
        <v>0</v>
      </c>
      <c r="R12" s="210">
        <v>0</v>
      </c>
      <c r="S12" s="210">
        <v>0</v>
      </c>
      <c r="T12" s="210">
        <v>0</v>
      </c>
    </row>
    <row r="13" spans="1:20" s="176" customFormat="1" ht="12.75" customHeight="1" x14ac:dyDescent="0.2">
      <c r="A13" s="177">
        <v>1103</v>
      </c>
      <c r="B13" s="178" t="s">
        <v>320</v>
      </c>
      <c r="C13" s="175"/>
      <c r="D13" s="41"/>
      <c r="E13" s="41"/>
      <c r="F13" s="41"/>
      <c r="G13" s="41"/>
      <c r="H13" s="179">
        <v>271648</v>
      </c>
      <c r="I13" s="235">
        <v>265988.39</v>
      </c>
      <c r="J13" s="233"/>
      <c r="K13" s="179">
        <v>282513.91999999998</v>
      </c>
      <c r="L13" s="38">
        <v>196160</v>
      </c>
      <c r="M13" s="179"/>
      <c r="N13" s="179">
        <v>293814.4768</v>
      </c>
      <c r="O13" s="180">
        <v>2</v>
      </c>
      <c r="P13" s="176" t="s">
        <v>321</v>
      </c>
      <c r="R13" s="210">
        <f>'Standard Salary Costs'!I13</f>
        <v>262184</v>
      </c>
      <c r="S13" s="210">
        <f>'Standard Salary Costs'!J13</f>
        <v>272671.35999999999</v>
      </c>
      <c r="T13" s="210">
        <f>'Standard Salary Costs'!K13</f>
        <v>283578.2144</v>
      </c>
    </row>
    <row r="14" spans="1:20" s="176" customFormat="1" ht="12.75" customHeight="1" x14ac:dyDescent="0.2">
      <c r="A14" s="177">
        <v>1104</v>
      </c>
      <c r="B14" s="178" t="s">
        <v>322</v>
      </c>
      <c r="C14" s="175"/>
      <c r="D14" s="41"/>
      <c r="E14" s="41"/>
      <c r="F14" s="41"/>
      <c r="G14" s="41"/>
      <c r="H14" s="179">
        <v>271648</v>
      </c>
      <c r="I14" s="235">
        <v>292306.38</v>
      </c>
      <c r="J14" s="233"/>
      <c r="K14" s="179">
        <v>282513.91999999998</v>
      </c>
      <c r="L14" s="38">
        <v>190249</v>
      </c>
      <c r="M14" s="179"/>
      <c r="N14" s="179">
        <v>293814.4768</v>
      </c>
      <c r="O14" s="180">
        <v>3</v>
      </c>
      <c r="P14" s="176" t="s">
        <v>323</v>
      </c>
      <c r="R14" s="210">
        <f>'Standard Salary Costs'!I13</f>
        <v>262184</v>
      </c>
      <c r="S14" s="210">
        <f>'Standard Salary Costs'!J13</f>
        <v>272671.35999999999</v>
      </c>
      <c r="T14" s="210">
        <f>'Standard Salary Costs'!K13</f>
        <v>283578.2144</v>
      </c>
    </row>
    <row r="15" spans="1:20" s="176" customFormat="1" ht="12.75" customHeight="1" x14ac:dyDescent="0.2">
      <c r="A15" s="177">
        <v>1105</v>
      </c>
      <c r="B15" s="178" t="s">
        <v>324</v>
      </c>
      <c r="C15" s="175"/>
      <c r="D15" s="41"/>
      <c r="E15" s="41"/>
      <c r="F15" s="41"/>
      <c r="G15" s="41"/>
      <c r="H15" s="179">
        <v>229632</v>
      </c>
      <c r="I15" s="235">
        <v>185887.26</v>
      </c>
      <c r="J15" s="233"/>
      <c r="K15" s="179">
        <v>238817.28</v>
      </c>
      <c r="L15" s="38">
        <v>144034</v>
      </c>
      <c r="M15" s="179"/>
      <c r="N15" s="179">
        <v>248369.9712</v>
      </c>
      <c r="O15" s="181">
        <v>4</v>
      </c>
      <c r="P15" s="186" t="s">
        <v>325</v>
      </c>
      <c r="R15" s="210">
        <f>'Standard Salary Costs'!I14</f>
        <v>225472</v>
      </c>
      <c r="S15" s="210">
        <f>'Standard Salary Costs'!J14</f>
        <v>234490.88</v>
      </c>
      <c r="T15" s="210">
        <f>'Standard Salary Costs'!K14</f>
        <v>243870.51520000002</v>
      </c>
    </row>
    <row r="16" spans="1:20" s="176" customFormat="1" ht="12.75" customHeight="1" x14ac:dyDescent="0.2">
      <c r="A16" s="177">
        <v>1106</v>
      </c>
      <c r="B16" s="178" t="s">
        <v>326</v>
      </c>
      <c r="C16" s="175"/>
      <c r="D16" s="41"/>
      <c r="E16" s="41"/>
      <c r="F16" s="41"/>
      <c r="G16" s="41"/>
      <c r="H16" s="179">
        <v>271648</v>
      </c>
      <c r="I16" s="235">
        <v>299887.73</v>
      </c>
      <c r="J16" s="233"/>
      <c r="K16" s="179">
        <v>282513.91999999998</v>
      </c>
      <c r="L16" s="38">
        <v>256890</v>
      </c>
      <c r="M16" s="179"/>
      <c r="N16" s="179">
        <v>293814.4768</v>
      </c>
      <c r="O16" s="181">
        <v>5</v>
      </c>
      <c r="P16" s="186" t="s">
        <v>327</v>
      </c>
      <c r="R16" s="210">
        <f>'Standard Salary Costs'!I13</f>
        <v>262184</v>
      </c>
      <c r="S16" s="210">
        <f>'Standard Salary Costs'!J13</f>
        <v>272671.35999999999</v>
      </c>
      <c r="T16" s="210">
        <f>'Standard Salary Costs'!K13</f>
        <v>283578.2144</v>
      </c>
    </row>
    <row r="17" spans="1:22" s="176" customFormat="1" ht="12.75" customHeight="1" x14ac:dyDescent="0.2">
      <c r="A17" s="177">
        <v>1107</v>
      </c>
      <c r="B17" s="178" t="s">
        <v>328</v>
      </c>
      <c r="C17" s="175"/>
      <c r="D17" s="41"/>
      <c r="E17" s="41"/>
      <c r="F17" s="41"/>
      <c r="G17" s="41"/>
      <c r="H17" s="179">
        <v>229632</v>
      </c>
      <c r="I17" s="235">
        <v>180085.98</v>
      </c>
      <c r="J17" s="233"/>
      <c r="K17" s="179">
        <v>238817.28</v>
      </c>
      <c r="L17" s="38">
        <v>152445</v>
      </c>
      <c r="M17" s="179"/>
      <c r="N17" s="179">
        <v>248369.9712</v>
      </c>
      <c r="O17" s="181">
        <v>6</v>
      </c>
      <c r="P17" s="186" t="s">
        <v>329</v>
      </c>
      <c r="R17" s="210">
        <f>'Standard Salary Costs'!I14</f>
        <v>225472</v>
      </c>
      <c r="S17" s="210">
        <f>'Standard Salary Costs'!J14</f>
        <v>234490.88</v>
      </c>
      <c r="T17" s="210">
        <f>'Standard Salary Costs'!K14</f>
        <v>243870.51520000002</v>
      </c>
    </row>
    <row r="18" spans="1:22" s="176" customFormat="1" ht="12.75" customHeight="1" x14ac:dyDescent="0.2">
      <c r="A18" s="177">
        <v>1108</v>
      </c>
      <c r="B18" s="178" t="s">
        <v>330</v>
      </c>
      <c r="C18" s="175"/>
      <c r="D18" s="41"/>
      <c r="E18" s="41"/>
      <c r="F18" s="41"/>
      <c r="G18" s="41"/>
      <c r="H18" s="179">
        <v>271648</v>
      </c>
      <c r="I18" s="235">
        <v>253014.53</v>
      </c>
      <c r="J18" s="233"/>
      <c r="K18" s="179">
        <v>282513.91999999998</v>
      </c>
      <c r="L18" s="38">
        <v>199474</v>
      </c>
      <c r="M18" s="179"/>
      <c r="N18" s="179">
        <v>293814.4768</v>
      </c>
      <c r="O18" s="181">
        <v>7</v>
      </c>
      <c r="P18" s="186" t="s">
        <v>331</v>
      </c>
      <c r="R18" s="210">
        <f>'Standard Salary Costs'!I13</f>
        <v>262184</v>
      </c>
      <c r="S18" s="210">
        <f>'Standard Salary Costs'!J13</f>
        <v>272671.35999999999</v>
      </c>
      <c r="T18" s="210">
        <f>'Standard Salary Costs'!K13</f>
        <v>283578.2144</v>
      </c>
    </row>
    <row r="19" spans="1:22" s="176" customFormat="1" ht="12.75" customHeight="1" x14ac:dyDescent="0.2">
      <c r="A19" s="177">
        <v>1109</v>
      </c>
      <c r="B19" s="178" t="s">
        <v>332</v>
      </c>
      <c r="C19" s="175"/>
      <c r="D19" s="41"/>
      <c r="E19" s="41"/>
      <c r="F19" s="41"/>
      <c r="G19" s="41"/>
      <c r="H19" s="179">
        <v>229632</v>
      </c>
      <c r="I19" s="235">
        <v>239060.14</v>
      </c>
      <c r="J19" s="233"/>
      <c r="K19" s="179">
        <v>238817.28</v>
      </c>
      <c r="L19" s="38">
        <v>86570</v>
      </c>
      <c r="M19" s="179"/>
      <c r="N19" s="179">
        <v>248369.9712</v>
      </c>
      <c r="O19" s="181">
        <v>8</v>
      </c>
      <c r="P19" s="186" t="s">
        <v>333</v>
      </c>
      <c r="R19" s="210">
        <f>'Standard Salary Costs'!I14</f>
        <v>225472</v>
      </c>
      <c r="S19" s="210">
        <f>'Standard Salary Costs'!J14</f>
        <v>234490.88</v>
      </c>
      <c r="T19" s="210">
        <f>'Standard Salary Costs'!K14</f>
        <v>243870.51520000002</v>
      </c>
    </row>
    <row r="20" spans="1:22" s="176" customFormat="1" ht="12.75" customHeight="1" x14ac:dyDescent="0.2">
      <c r="A20" s="177">
        <v>1110</v>
      </c>
      <c r="B20" s="178" t="s">
        <v>334</v>
      </c>
      <c r="C20" s="175"/>
      <c r="D20" s="41"/>
      <c r="E20" s="41"/>
      <c r="F20" s="41"/>
      <c r="G20" s="41"/>
      <c r="H20" s="179">
        <v>0</v>
      </c>
      <c r="I20" s="242">
        <v>0</v>
      </c>
      <c r="J20" s="234"/>
      <c r="K20" s="179">
        <v>0</v>
      </c>
      <c r="L20" s="38">
        <v>0</v>
      </c>
      <c r="M20" s="179"/>
      <c r="N20" s="179">
        <v>0</v>
      </c>
      <c r="R20" s="210">
        <v>0</v>
      </c>
      <c r="S20" s="210">
        <v>0</v>
      </c>
      <c r="T20" s="210">
        <v>0</v>
      </c>
    </row>
    <row r="21" spans="1:22" s="176" customFormat="1" ht="12.75" customHeight="1" x14ac:dyDescent="0.2">
      <c r="A21" s="177">
        <v>1111</v>
      </c>
      <c r="B21" s="178" t="s">
        <v>335</v>
      </c>
      <c r="C21" s="175"/>
      <c r="D21" s="41"/>
      <c r="E21" s="41"/>
      <c r="F21" s="41"/>
      <c r="G21" s="41"/>
      <c r="H21" s="179">
        <v>0</v>
      </c>
      <c r="I21" s="235">
        <v>0</v>
      </c>
      <c r="J21" s="233"/>
      <c r="K21" s="179">
        <v>0</v>
      </c>
      <c r="L21" s="38">
        <v>0</v>
      </c>
      <c r="M21" s="179"/>
      <c r="N21" s="179">
        <v>0</v>
      </c>
      <c r="R21" s="210">
        <v>0</v>
      </c>
      <c r="S21" s="210">
        <v>0</v>
      </c>
      <c r="T21" s="210">
        <v>0</v>
      </c>
    </row>
    <row r="22" spans="1:22" s="176" customFormat="1" ht="12.75" customHeight="1" x14ac:dyDescent="0.2">
      <c r="A22" s="177">
        <v>1112</v>
      </c>
      <c r="B22" s="178" t="s">
        <v>336</v>
      </c>
      <c r="C22" s="175"/>
      <c r="D22" s="41"/>
      <c r="E22" s="41"/>
      <c r="F22" s="41"/>
      <c r="G22" s="41"/>
      <c r="H22" s="179">
        <v>191880</v>
      </c>
      <c r="I22" s="235">
        <v>102123.9</v>
      </c>
      <c r="J22" s="233"/>
      <c r="K22" s="179">
        <v>199555.20000000001</v>
      </c>
      <c r="L22" s="38">
        <v>164531</v>
      </c>
      <c r="M22" s="179"/>
      <c r="N22" s="179">
        <v>207537.40800000002</v>
      </c>
      <c r="O22" s="181">
        <v>9</v>
      </c>
      <c r="P22" s="176" t="s">
        <v>337</v>
      </c>
      <c r="R22" s="210">
        <f>'Standard Salary Costs'!I15</f>
        <v>186472</v>
      </c>
      <c r="S22" s="210">
        <f>'Standard Salary Costs'!J15</f>
        <v>193930.88</v>
      </c>
      <c r="T22" s="210">
        <f>'Standard Salary Costs'!K15</f>
        <v>201688.1152</v>
      </c>
    </row>
    <row r="23" spans="1:22" s="176" customFormat="1" ht="12.75" customHeight="1" x14ac:dyDescent="0.2">
      <c r="A23" s="177">
        <v>1113</v>
      </c>
      <c r="B23" s="178" t="s">
        <v>338</v>
      </c>
      <c r="C23" s="175"/>
      <c r="D23" s="41"/>
      <c r="E23" s="41"/>
      <c r="F23" s="41"/>
      <c r="G23" s="41"/>
      <c r="H23" s="179">
        <v>0</v>
      </c>
      <c r="I23" s="235">
        <v>0</v>
      </c>
      <c r="J23" s="233"/>
      <c r="K23" s="179">
        <v>0</v>
      </c>
      <c r="L23" s="38">
        <v>0</v>
      </c>
      <c r="M23" s="179"/>
      <c r="N23" s="179">
        <v>0</v>
      </c>
      <c r="R23" s="210">
        <v>0</v>
      </c>
      <c r="S23" s="210">
        <v>0</v>
      </c>
      <c r="T23" s="210">
        <v>0</v>
      </c>
    </row>
    <row r="24" spans="1:22" s="176" customFormat="1" ht="12.75" customHeight="1" x14ac:dyDescent="0.2">
      <c r="A24" s="177">
        <v>1115</v>
      </c>
      <c r="B24" s="178" t="s">
        <v>339</v>
      </c>
      <c r="C24" s="175"/>
      <c r="D24" s="41"/>
      <c r="E24" s="41"/>
      <c r="F24" s="41"/>
      <c r="G24" s="41"/>
      <c r="H24" s="179">
        <v>0</v>
      </c>
      <c r="I24" s="235">
        <v>0</v>
      </c>
      <c r="J24" s="233"/>
      <c r="K24" s="179">
        <v>0</v>
      </c>
      <c r="L24" s="38">
        <v>0</v>
      </c>
      <c r="M24" s="179"/>
      <c r="N24" s="179">
        <v>0</v>
      </c>
      <c r="R24" s="210">
        <v>0</v>
      </c>
      <c r="S24" s="210">
        <v>0</v>
      </c>
      <c r="T24" s="210">
        <v>0</v>
      </c>
    </row>
    <row r="25" spans="1:22" s="176" customFormat="1" ht="12.75" customHeight="1" x14ac:dyDescent="0.2">
      <c r="A25" s="177">
        <v>1116</v>
      </c>
      <c r="B25" s="178" t="s">
        <v>340</v>
      </c>
      <c r="C25" s="175"/>
      <c r="D25" s="41"/>
      <c r="E25" s="41"/>
      <c r="F25" s="41"/>
      <c r="G25" s="41"/>
      <c r="H25" s="179">
        <v>229632</v>
      </c>
      <c r="I25" s="235">
        <v>212394.75</v>
      </c>
      <c r="J25" s="233"/>
      <c r="K25" s="179">
        <v>238817.28</v>
      </c>
      <c r="L25" s="38">
        <v>206497</v>
      </c>
      <c r="M25" s="179"/>
      <c r="N25" s="179">
        <v>248369.9712</v>
      </c>
      <c r="O25" s="180">
        <v>10</v>
      </c>
      <c r="P25" s="176" t="s">
        <v>341</v>
      </c>
      <c r="R25" s="210">
        <f>'Standard Salary Costs'!I14</f>
        <v>225472</v>
      </c>
      <c r="S25" s="210">
        <f>'Standard Salary Costs'!J14</f>
        <v>234490.88</v>
      </c>
      <c r="T25" s="210">
        <f>'Standard Salary Costs'!K14</f>
        <v>243870.51520000002</v>
      </c>
    </row>
    <row r="26" spans="1:22" s="176" customFormat="1" ht="12.75" customHeight="1" x14ac:dyDescent="0.2">
      <c r="A26" s="177">
        <v>1117</v>
      </c>
      <c r="B26" s="178" t="s">
        <v>342</v>
      </c>
      <c r="C26" s="175"/>
      <c r="D26" s="41"/>
      <c r="E26" s="41"/>
      <c r="F26" s="41"/>
      <c r="G26" s="41"/>
      <c r="H26" s="179">
        <v>271648</v>
      </c>
      <c r="I26" s="235">
        <v>335996.35</v>
      </c>
      <c r="J26" s="233"/>
      <c r="K26" s="179">
        <v>282513.91999999998</v>
      </c>
      <c r="L26" s="38">
        <v>218190</v>
      </c>
      <c r="M26" s="179"/>
      <c r="N26" s="179">
        <v>293814.4768</v>
      </c>
      <c r="O26" s="180">
        <v>11</v>
      </c>
      <c r="P26" s="176" t="s">
        <v>343</v>
      </c>
      <c r="R26" s="210">
        <f>'Standard Salary Costs'!I13</f>
        <v>262184</v>
      </c>
      <c r="S26" s="210">
        <f>'Standard Salary Costs'!J13</f>
        <v>272671.35999999999</v>
      </c>
      <c r="T26" s="210">
        <f>'Standard Salary Costs'!K13</f>
        <v>283578.2144</v>
      </c>
    </row>
    <row r="27" spans="1:22" s="176" customFormat="1" ht="12.75" customHeight="1" x14ac:dyDescent="0.2">
      <c r="A27" s="177">
        <v>1118</v>
      </c>
      <c r="B27" s="178" t="s">
        <v>344</v>
      </c>
      <c r="C27" s="175"/>
      <c r="D27" s="41"/>
      <c r="E27" s="41"/>
      <c r="F27" s="41"/>
      <c r="G27" s="41"/>
      <c r="H27" s="179">
        <v>191880</v>
      </c>
      <c r="I27" s="235">
        <v>163139.69</v>
      </c>
      <c r="J27" s="233"/>
      <c r="K27" s="179">
        <v>199555.20000000001</v>
      </c>
      <c r="L27" s="38">
        <v>131605</v>
      </c>
      <c r="M27" s="179"/>
      <c r="N27" s="179">
        <v>207537.40800000002</v>
      </c>
      <c r="O27" s="181">
        <v>12</v>
      </c>
      <c r="P27" s="176" t="s">
        <v>345</v>
      </c>
      <c r="R27" s="210">
        <f>'Standard Salary Costs'!I15</f>
        <v>186472</v>
      </c>
      <c r="S27" s="210">
        <f>'Standard Salary Costs'!J15</f>
        <v>193930.88</v>
      </c>
      <c r="T27" s="210">
        <f>'Standard Salary Costs'!K15</f>
        <v>201688.1152</v>
      </c>
    </row>
    <row r="28" spans="1:22" s="176" customFormat="1" ht="12.75" customHeight="1" x14ac:dyDescent="0.2">
      <c r="A28" s="177" t="s">
        <v>346</v>
      </c>
      <c r="B28" s="178" t="s">
        <v>347</v>
      </c>
      <c r="C28" s="175"/>
      <c r="D28" s="41"/>
      <c r="E28" s="41"/>
      <c r="F28" s="41"/>
      <c r="G28" s="41"/>
      <c r="H28" s="179">
        <v>0</v>
      </c>
      <c r="I28" s="235"/>
      <c r="J28" s="233"/>
      <c r="K28" s="179">
        <v>0</v>
      </c>
      <c r="L28" s="38">
        <v>0</v>
      </c>
      <c r="M28" s="179"/>
      <c r="N28" s="179">
        <v>0</v>
      </c>
      <c r="O28" s="187" t="s">
        <v>348</v>
      </c>
      <c r="P28" s="176" t="s">
        <v>349</v>
      </c>
      <c r="R28" s="210">
        <v>0</v>
      </c>
      <c r="S28" s="210">
        <v>0</v>
      </c>
      <c r="T28" s="210">
        <v>0</v>
      </c>
    </row>
    <row r="29" spans="1:22" s="176" customFormat="1" ht="12.75" customHeight="1" x14ac:dyDescent="0.2">
      <c r="A29" s="177">
        <v>1121</v>
      </c>
      <c r="B29" s="178" t="s">
        <v>350</v>
      </c>
      <c r="C29" s="175"/>
      <c r="D29" s="41"/>
      <c r="E29" s="41"/>
      <c r="F29" s="41"/>
      <c r="G29" s="41"/>
      <c r="H29" s="179">
        <v>143910</v>
      </c>
      <c r="I29" s="235">
        <v>198035.77</v>
      </c>
      <c r="J29" s="233"/>
      <c r="K29" s="179">
        <v>149666.40000000002</v>
      </c>
      <c r="L29" s="38">
        <v>165428</v>
      </c>
      <c r="M29" s="179"/>
      <c r="N29" s="179">
        <v>155653.05600000004</v>
      </c>
      <c r="O29" s="181" t="s">
        <v>351</v>
      </c>
      <c r="P29" s="186" t="s">
        <v>352</v>
      </c>
      <c r="R29" s="211">
        <f>'Standard Salary Costs'!I15</f>
        <v>186472</v>
      </c>
      <c r="S29" s="211">
        <f>'Standard Salary Costs'!J15</f>
        <v>193930.88</v>
      </c>
      <c r="T29" s="211">
        <f>'Standard Salary Costs'!K15</f>
        <v>201688.1152</v>
      </c>
    </row>
    <row r="30" spans="1:22" ht="12.75" customHeight="1" x14ac:dyDescent="0.25">
      <c r="A30" s="49">
        <v>1100</v>
      </c>
      <c r="B30" s="95" t="s">
        <v>353</v>
      </c>
      <c r="C30" s="45"/>
      <c r="D30" s="37"/>
      <c r="E30" s="46">
        <v>2935608</v>
      </c>
      <c r="F30" s="46">
        <v>3053030</v>
      </c>
      <c r="G30" s="37"/>
      <c r="H30" s="46">
        <v>3149884.4</v>
      </c>
      <c r="I30" s="240">
        <f>SUM(I11:I29)</f>
        <v>3045366.19</v>
      </c>
      <c r="J30" s="46"/>
      <c r="K30" s="46">
        <v>3275879.7759999996</v>
      </c>
      <c r="L30" s="52">
        <f>SUM(L11:L29)</f>
        <v>2423520</v>
      </c>
      <c r="M30" s="46"/>
      <c r="N30" s="46">
        <v>3406914.9670399996</v>
      </c>
      <c r="O30" s="214">
        <f>SUM(H30:N30)</f>
        <v>15301565.333039999</v>
      </c>
      <c r="R30" s="212">
        <f>SUM(R11:R29)</f>
        <v>3104774.4</v>
      </c>
      <c r="S30" s="212">
        <f t="shared" ref="S30:T30" si="0">SUM(S11:S29)</f>
        <v>3228965.3759999992</v>
      </c>
      <c r="T30" s="212">
        <f t="shared" si="0"/>
        <v>3358123.9910399998</v>
      </c>
      <c r="U30" s="213">
        <f>SUM(R30:T30)</f>
        <v>9691863.7670399994</v>
      </c>
      <c r="V30" s="217">
        <f>(U30/O30)/100</f>
        <v>6.3339034641853162E-3</v>
      </c>
    </row>
    <row r="31" spans="1:22" ht="12.75" customHeight="1" x14ac:dyDescent="0.2">
      <c r="A31" s="39"/>
      <c r="B31" s="44"/>
      <c r="C31" s="45"/>
      <c r="D31" s="37"/>
      <c r="E31" s="46"/>
      <c r="G31" s="37"/>
      <c r="H31" s="38">
        <f>H30+H52</f>
        <v>4012252.4</v>
      </c>
      <c r="I31" s="241">
        <f>I30+I52</f>
        <v>3949893.5999999996</v>
      </c>
      <c r="J31" s="38"/>
      <c r="K31" s="38"/>
      <c r="L31" s="38"/>
      <c r="M31" s="38"/>
      <c r="N31" s="38"/>
      <c r="R31" s="110"/>
      <c r="S31" s="110"/>
      <c r="T31" s="110"/>
    </row>
    <row r="32" spans="1:22" ht="12.75" customHeight="1" x14ac:dyDescent="0.2">
      <c r="A32" s="49">
        <v>1200</v>
      </c>
      <c r="B32" s="95" t="s">
        <v>354</v>
      </c>
      <c r="C32" s="19"/>
      <c r="D32" s="51"/>
      <c r="E32" s="53"/>
      <c r="F32" s="53"/>
      <c r="G32" s="51"/>
      <c r="H32" s="53"/>
      <c r="I32" s="243"/>
      <c r="J32" s="53"/>
      <c r="K32" s="53"/>
      <c r="L32" s="53"/>
      <c r="M32" s="53"/>
      <c r="N32" s="53"/>
      <c r="R32" s="110"/>
      <c r="S32" s="110"/>
      <c r="T32" s="110"/>
    </row>
    <row r="33" spans="1:20" ht="12.75" customHeight="1" x14ac:dyDescent="0.2">
      <c r="A33" s="39">
        <v>1201</v>
      </c>
      <c r="B33" s="42" t="s">
        <v>355</v>
      </c>
      <c r="C33" s="10"/>
      <c r="D33" s="41"/>
      <c r="E33" s="38">
        <v>0</v>
      </c>
      <c r="F33" s="38">
        <v>100000</v>
      </c>
      <c r="G33" s="41"/>
      <c r="H33" s="38">
        <v>0</v>
      </c>
      <c r="I33" s="235">
        <v>0</v>
      </c>
      <c r="J33" s="233"/>
      <c r="K33" s="38">
        <v>0</v>
      </c>
      <c r="L33" s="38">
        <v>0</v>
      </c>
      <c r="M33" s="38"/>
      <c r="N33" s="38">
        <v>200000</v>
      </c>
      <c r="R33" s="110"/>
      <c r="S33" s="110"/>
      <c r="T33" s="110"/>
    </row>
    <row r="34" spans="1:20" ht="12.75" customHeight="1" x14ac:dyDescent="0.2">
      <c r="A34" s="39">
        <v>1202</v>
      </c>
      <c r="B34" s="43" t="s">
        <v>356</v>
      </c>
      <c r="C34" s="10"/>
      <c r="D34" s="41"/>
      <c r="E34" s="38">
        <v>25000</v>
      </c>
      <c r="F34" s="38">
        <v>10000</v>
      </c>
      <c r="G34" s="41"/>
      <c r="H34" s="38">
        <v>65000</v>
      </c>
      <c r="I34" s="235">
        <v>101992.83</v>
      </c>
      <c r="J34" s="233"/>
      <c r="K34" s="38">
        <v>65000</v>
      </c>
      <c r="L34" s="38">
        <v>42605</v>
      </c>
      <c r="M34" s="38"/>
      <c r="N34" s="38">
        <v>20000</v>
      </c>
      <c r="R34" s="110"/>
      <c r="S34" s="110"/>
      <c r="T34" s="110"/>
    </row>
    <row r="35" spans="1:20" ht="12.75" customHeight="1" x14ac:dyDescent="0.2">
      <c r="A35" s="39">
        <v>1203</v>
      </c>
      <c r="B35" s="43" t="s">
        <v>357</v>
      </c>
      <c r="C35" s="10"/>
      <c r="D35" s="41"/>
      <c r="E35" s="38">
        <v>35000</v>
      </c>
      <c r="F35" s="38">
        <v>0</v>
      </c>
      <c r="G35" s="41"/>
      <c r="H35" s="38">
        <v>50000</v>
      </c>
      <c r="I35" s="235">
        <v>48063.92</v>
      </c>
      <c r="J35" s="233"/>
      <c r="K35" s="38">
        <v>50000</v>
      </c>
      <c r="L35" s="38">
        <v>48481</v>
      </c>
      <c r="M35" s="38"/>
      <c r="N35" s="38">
        <v>0</v>
      </c>
      <c r="R35" s="110"/>
      <c r="S35" s="110"/>
      <c r="T35" s="110"/>
    </row>
    <row r="36" spans="1:20" ht="12.75" customHeight="1" x14ac:dyDescent="0.2">
      <c r="A36" s="39">
        <v>1204</v>
      </c>
      <c r="B36" s="43" t="s">
        <v>358</v>
      </c>
      <c r="C36" s="10"/>
      <c r="D36" s="41"/>
      <c r="E36" s="38">
        <v>35000</v>
      </c>
      <c r="F36" s="38">
        <v>0</v>
      </c>
      <c r="G36" s="41"/>
      <c r="H36" s="38">
        <v>50000</v>
      </c>
      <c r="I36" s="235">
        <v>36195.85</v>
      </c>
      <c r="J36" s="233"/>
      <c r="K36" s="38">
        <v>50000</v>
      </c>
      <c r="L36" s="38">
        <v>52166</v>
      </c>
      <c r="M36" s="38"/>
      <c r="N36" s="38">
        <v>0</v>
      </c>
      <c r="R36" s="110"/>
      <c r="S36" s="110"/>
      <c r="T36" s="110"/>
    </row>
    <row r="37" spans="1:20" ht="12.75" customHeight="1" x14ac:dyDescent="0.2">
      <c r="A37" s="39">
        <v>1205</v>
      </c>
      <c r="B37" s="40" t="s">
        <v>359</v>
      </c>
      <c r="C37" s="10"/>
      <c r="D37" s="41"/>
      <c r="E37" s="38">
        <v>170000</v>
      </c>
      <c r="F37" s="38">
        <v>200000</v>
      </c>
      <c r="G37" s="41"/>
      <c r="H37" s="38">
        <v>100000</v>
      </c>
      <c r="I37" s="235">
        <v>82226.22</v>
      </c>
      <c r="J37" s="233"/>
      <c r="K37" s="38">
        <v>100000</v>
      </c>
      <c r="L37" s="38">
        <v>83619</v>
      </c>
      <c r="M37" s="38"/>
      <c r="N37" s="38">
        <v>100000</v>
      </c>
      <c r="R37" s="110"/>
      <c r="S37" s="110"/>
      <c r="T37" s="110"/>
    </row>
    <row r="38" spans="1:20" ht="12.75" customHeight="1" x14ac:dyDescent="0.2">
      <c r="A38" s="39">
        <v>1299</v>
      </c>
      <c r="B38" s="44" t="s">
        <v>360</v>
      </c>
      <c r="C38" s="45"/>
      <c r="D38" s="37"/>
      <c r="E38" s="53">
        <f>SUM(E33:E37)</f>
        <v>265000</v>
      </c>
      <c r="F38" s="53">
        <f>SUM(F33:F37)</f>
        <v>310000</v>
      </c>
      <c r="G38" s="37"/>
      <c r="H38" s="46">
        <f>SUM(H33:H37)</f>
        <v>265000</v>
      </c>
      <c r="I38" s="240">
        <f>SUM(I33:I37)</f>
        <v>268478.82</v>
      </c>
      <c r="J38" s="46"/>
      <c r="K38" s="46">
        <f>SUM(K33:K37)</f>
        <v>265000</v>
      </c>
      <c r="L38" s="52">
        <f>SUM(L33:L37)</f>
        <v>226871</v>
      </c>
      <c r="M38" s="46"/>
      <c r="N38" s="46">
        <f>SUM(N33:N37)</f>
        <v>320000</v>
      </c>
      <c r="R38" s="110"/>
      <c r="S38" s="110"/>
      <c r="T38" s="110"/>
    </row>
    <row r="39" spans="1:20" ht="12.75" customHeight="1" x14ac:dyDescent="0.2">
      <c r="A39" s="39"/>
      <c r="B39" s="40"/>
      <c r="C39" s="10"/>
      <c r="D39" s="41"/>
      <c r="E39" s="46"/>
      <c r="F39" s="46"/>
      <c r="G39" s="41"/>
      <c r="H39" s="38"/>
      <c r="I39" s="241"/>
      <c r="J39" s="38"/>
      <c r="K39" s="38"/>
      <c r="L39" s="38"/>
      <c r="M39" s="38"/>
      <c r="N39" s="38"/>
      <c r="R39" s="110"/>
      <c r="S39" s="110"/>
      <c r="T39" s="110"/>
    </row>
    <row r="40" spans="1:20" ht="12.75" customHeight="1" x14ac:dyDescent="0.2">
      <c r="A40" s="49">
        <v>1300</v>
      </c>
      <c r="B40" s="50" t="s">
        <v>361</v>
      </c>
      <c r="C40" s="51" t="s">
        <v>362</v>
      </c>
      <c r="D40" s="51" t="s">
        <v>363</v>
      </c>
      <c r="E40" s="52"/>
      <c r="F40" s="31"/>
      <c r="G40" s="51"/>
      <c r="H40" s="53"/>
      <c r="I40" s="243"/>
      <c r="J40" s="53"/>
      <c r="K40" s="53"/>
      <c r="L40" s="53"/>
      <c r="M40" s="53"/>
      <c r="N40" s="53"/>
      <c r="R40" s="110"/>
      <c r="S40" s="110"/>
      <c r="T40" s="110"/>
    </row>
    <row r="41" spans="1:20" ht="12.75" customHeight="1" x14ac:dyDescent="0.2">
      <c r="A41" s="39">
        <v>1301</v>
      </c>
      <c r="B41" s="28" t="s">
        <v>364</v>
      </c>
      <c r="C41" s="51"/>
      <c r="D41" s="51"/>
      <c r="E41" s="52"/>
      <c r="F41" s="31"/>
      <c r="G41" s="51"/>
      <c r="H41" s="38">
        <v>143728</v>
      </c>
      <c r="I41" s="241">
        <v>161002.15</v>
      </c>
      <c r="J41" s="38"/>
      <c r="K41" s="38">
        <v>149477.12</v>
      </c>
      <c r="L41" s="38">
        <v>97891</v>
      </c>
      <c r="M41" s="38"/>
      <c r="N41" s="38">
        <v>155456.20480000001</v>
      </c>
      <c r="O41" s="182">
        <v>14</v>
      </c>
      <c r="P41" s="176" t="s">
        <v>365</v>
      </c>
      <c r="R41" s="110">
        <f>'Standard Salary Costs'!I18</f>
        <v>144768</v>
      </c>
      <c r="S41" s="110">
        <f>'Standard Salary Costs'!J18</f>
        <v>150558.72</v>
      </c>
      <c r="T41" s="110">
        <f>'Standard Salary Costs'!K18</f>
        <v>156581.06880000001</v>
      </c>
    </row>
    <row r="42" spans="1:20" ht="12.75" customHeight="1" x14ac:dyDescent="0.2">
      <c r="A42" s="39">
        <v>1302</v>
      </c>
      <c r="B42" s="28" t="s">
        <v>366</v>
      </c>
      <c r="C42" s="51"/>
      <c r="D42" s="51"/>
      <c r="E42" s="52"/>
      <c r="F42" s="31"/>
      <c r="G42" s="51"/>
      <c r="H42" s="38">
        <v>143728</v>
      </c>
      <c r="I42" s="241">
        <v>157202.81</v>
      </c>
      <c r="J42" s="38"/>
      <c r="K42" s="38">
        <v>149477.12</v>
      </c>
      <c r="L42" s="38">
        <v>114159</v>
      </c>
      <c r="M42" s="38"/>
      <c r="N42" s="38">
        <v>155456.20480000001</v>
      </c>
      <c r="O42" s="182">
        <v>15</v>
      </c>
      <c r="P42" s="176" t="s">
        <v>367</v>
      </c>
      <c r="R42" s="110">
        <f>'Standard Salary Costs'!I18</f>
        <v>144768</v>
      </c>
      <c r="S42" s="110">
        <f>'Standard Salary Costs'!J18</f>
        <v>150558.72</v>
      </c>
      <c r="T42" s="110">
        <f>'Standard Salary Costs'!K18</f>
        <v>156581.06880000001</v>
      </c>
    </row>
    <row r="43" spans="1:20" ht="12.75" customHeight="1" x14ac:dyDescent="0.2">
      <c r="A43" s="39">
        <v>1303</v>
      </c>
      <c r="B43" s="28" t="s">
        <v>368</v>
      </c>
      <c r="C43" s="51"/>
      <c r="D43" s="51"/>
      <c r="E43" s="52"/>
      <c r="F43" s="31"/>
      <c r="G43" s="51"/>
      <c r="H43" s="38">
        <v>143728</v>
      </c>
      <c r="I43" s="241">
        <v>163473.59</v>
      </c>
      <c r="J43" s="38"/>
      <c r="K43" s="38">
        <v>149477.12</v>
      </c>
      <c r="L43" s="38">
        <v>127359</v>
      </c>
      <c r="M43" s="38"/>
      <c r="N43" s="38">
        <v>155456.20480000001</v>
      </c>
      <c r="O43" s="182">
        <v>16</v>
      </c>
      <c r="P43" s="176" t="s">
        <v>369</v>
      </c>
      <c r="R43" s="110">
        <f>'Standard Salary Costs'!I18</f>
        <v>144768</v>
      </c>
      <c r="S43" s="110">
        <f>'Standard Salary Costs'!J18</f>
        <v>150558.72</v>
      </c>
      <c r="T43" s="110">
        <f>'Standard Salary Costs'!K18</f>
        <v>156581.06880000001</v>
      </c>
    </row>
    <row r="44" spans="1:20" ht="12.75" customHeight="1" x14ac:dyDescent="0.2">
      <c r="A44" s="39">
        <v>1304</v>
      </c>
      <c r="B44" s="28" t="s">
        <v>370</v>
      </c>
      <c r="C44" s="51"/>
      <c r="D44" s="51"/>
      <c r="E44" s="52"/>
      <c r="F44" s="31"/>
      <c r="G44" s="51"/>
      <c r="H44" s="38">
        <v>0</v>
      </c>
      <c r="I44" s="235">
        <v>0</v>
      </c>
      <c r="J44" s="233"/>
      <c r="K44" s="38">
        <v>0</v>
      </c>
      <c r="L44" s="38">
        <v>0</v>
      </c>
      <c r="M44" s="38"/>
      <c r="N44" s="38">
        <v>0</v>
      </c>
      <c r="R44" s="110">
        <v>0</v>
      </c>
      <c r="S44" s="110">
        <v>0</v>
      </c>
      <c r="T44" s="110">
        <v>0</v>
      </c>
    </row>
    <row r="45" spans="1:20" ht="12.75" customHeight="1" x14ac:dyDescent="0.2">
      <c r="A45" s="39">
        <v>1305</v>
      </c>
      <c r="B45" s="28" t="s">
        <v>371</v>
      </c>
      <c r="C45" s="51"/>
      <c r="D45" s="51"/>
      <c r="E45" s="52"/>
      <c r="F45" s="31"/>
      <c r="G45" s="51"/>
      <c r="H45" s="38">
        <v>0</v>
      </c>
      <c r="I45" s="235">
        <v>0</v>
      </c>
      <c r="J45" s="233"/>
      <c r="K45" s="38">
        <v>0</v>
      </c>
      <c r="L45" s="38">
        <v>0</v>
      </c>
      <c r="M45" s="38"/>
      <c r="N45" s="38">
        <v>0</v>
      </c>
      <c r="R45" s="110">
        <v>0</v>
      </c>
      <c r="S45" s="110">
        <v>0</v>
      </c>
      <c r="T45" s="110">
        <v>0</v>
      </c>
    </row>
    <row r="46" spans="1:20" ht="12.75" customHeight="1" x14ac:dyDescent="0.2">
      <c r="A46" s="39">
        <v>1306</v>
      </c>
      <c r="B46" s="28" t="s">
        <v>372</v>
      </c>
      <c r="C46" s="51"/>
      <c r="D46" s="51"/>
      <c r="E46" s="52"/>
      <c r="F46" s="31"/>
      <c r="G46" s="51"/>
      <c r="H46" s="38">
        <v>143728</v>
      </c>
      <c r="I46" s="241">
        <v>159996.06</v>
      </c>
      <c r="J46" s="38"/>
      <c r="K46" s="38">
        <v>149477.12</v>
      </c>
      <c r="L46" s="38">
        <v>136335</v>
      </c>
      <c r="M46" s="38"/>
      <c r="N46" s="38">
        <v>155456.20480000001</v>
      </c>
      <c r="O46" s="183">
        <v>17</v>
      </c>
      <c r="P46" s="176" t="s">
        <v>373</v>
      </c>
      <c r="R46" s="110">
        <f>'Standard Salary Costs'!I18</f>
        <v>144768</v>
      </c>
      <c r="S46" s="110">
        <f>'Standard Salary Costs'!J18</f>
        <v>150558.72</v>
      </c>
      <c r="T46" s="110">
        <f>'Standard Salary Costs'!K18</f>
        <v>156581.06880000001</v>
      </c>
    </row>
    <row r="47" spans="1:20" ht="12.75" customHeight="1" x14ac:dyDescent="0.2">
      <c r="A47" s="39">
        <v>1307</v>
      </c>
      <c r="B47" s="28" t="s">
        <v>374</v>
      </c>
      <c r="C47" s="51"/>
      <c r="D47" s="51"/>
      <c r="E47" s="52"/>
      <c r="F47" s="31"/>
      <c r="G47" s="51"/>
      <c r="H47" s="38">
        <v>143728</v>
      </c>
      <c r="I47" s="241">
        <v>117156.05</v>
      </c>
      <c r="J47" s="38"/>
      <c r="K47" s="38">
        <v>149477.12</v>
      </c>
      <c r="L47" s="38">
        <v>175411</v>
      </c>
      <c r="M47" s="38"/>
      <c r="N47" s="38">
        <v>155456.20480000001</v>
      </c>
      <c r="O47" s="183">
        <v>18</v>
      </c>
      <c r="P47" s="186" t="s">
        <v>375</v>
      </c>
      <c r="R47" s="110">
        <f>'Standard Salary Costs'!I18</f>
        <v>144768</v>
      </c>
      <c r="S47" s="110">
        <f>'Standard Salary Costs'!J18</f>
        <v>150558.72</v>
      </c>
      <c r="T47" s="110">
        <f>'Standard Salary Costs'!K18</f>
        <v>156581.06880000001</v>
      </c>
    </row>
    <row r="48" spans="1:20" ht="12.75" customHeight="1" x14ac:dyDescent="0.2">
      <c r="A48" s="39">
        <v>1309</v>
      </c>
      <c r="B48" s="28" t="s">
        <v>376</v>
      </c>
      <c r="C48" s="51"/>
      <c r="D48" s="51"/>
      <c r="E48" s="52"/>
      <c r="F48" s="31"/>
      <c r="G48" s="51"/>
      <c r="H48" s="38">
        <v>143728</v>
      </c>
      <c r="I48" s="241">
        <v>145696.75</v>
      </c>
      <c r="J48" s="38"/>
      <c r="K48" s="38">
        <v>149477.12</v>
      </c>
      <c r="L48" s="38">
        <v>109362</v>
      </c>
      <c r="M48" s="38"/>
      <c r="N48" s="38">
        <v>155456.20480000001</v>
      </c>
      <c r="O48" s="183">
        <v>19</v>
      </c>
      <c r="P48" s="176" t="s">
        <v>377</v>
      </c>
      <c r="R48" s="110">
        <f>'Standard Salary Costs'!I18</f>
        <v>144768</v>
      </c>
      <c r="S48" s="110">
        <f>'Standard Salary Costs'!J18</f>
        <v>150558.72</v>
      </c>
      <c r="T48" s="110">
        <f>'Standard Salary Costs'!K18</f>
        <v>156581.06880000001</v>
      </c>
    </row>
    <row r="49" spans="1:22" ht="12.75" customHeight="1" x14ac:dyDescent="0.2">
      <c r="A49" s="39">
        <v>1310</v>
      </c>
      <c r="B49" s="28" t="s">
        <v>378</v>
      </c>
      <c r="C49" s="51"/>
      <c r="D49" s="51"/>
      <c r="E49" s="52"/>
      <c r="F49" s="31"/>
      <c r="G49" s="51"/>
      <c r="H49" s="38">
        <v>0</v>
      </c>
      <c r="I49" s="235">
        <v>0</v>
      </c>
      <c r="J49" s="233"/>
      <c r="K49" s="38">
        <v>0</v>
      </c>
      <c r="L49" s="38">
        <v>0</v>
      </c>
      <c r="M49" s="38"/>
      <c r="N49" s="38">
        <v>0</v>
      </c>
      <c r="R49" s="110">
        <v>0</v>
      </c>
      <c r="S49" s="110">
        <v>0</v>
      </c>
      <c r="T49" s="110">
        <v>0</v>
      </c>
    </row>
    <row r="50" spans="1:22" ht="12.75" customHeight="1" x14ac:dyDescent="0.2">
      <c r="A50" s="39" t="s">
        <v>379</v>
      </c>
      <c r="B50" s="185" t="s">
        <v>380</v>
      </c>
      <c r="C50" s="41"/>
      <c r="D50" s="41"/>
      <c r="E50" s="54"/>
      <c r="F50" s="176"/>
      <c r="G50" s="41"/>
      <c r="H50" s="38">
        <v>0</v>
      </c>
      <c r="I50" s="235">
        <v>0</v>
      </c>
      <c r="J50" s="233"/>
      <c r="K50" s="38">
        <v>0</v>
      </c>
      <c r="L50" s="38">
        <v>0</v>
      </c>
      <c r="M50" s="38"/>
      <c r="N50" s="38">
        <v>0</v>
      </c>
      <c r="O50" s="188" t="s">
        <v>381</v>
      </c>
      <c r="P50" s="176" t="s">
        <v>382</v>
      </c>
      <c r="R50" s="110">
        <v>0</v>
      </c>
      <c r="S50" s="110">
        <v>0</v>
      </c>
      <c r="T50" s="110">
        <v>0</v>
      </c>
    </row>
    <row r="51" spans="1:22" ht="12.75" customHeight="1" x14ac:dyDescent="0.2">
      <c r="A51" s="39" t="s">
        <v>383</v>
      </c>
      <c r="B51" s="185" t="s">
        <v>384</v>
      </c>
      <c r="C51" s="41"/>
      <c r="D51" s="41"/>
      <c r="E51" s="54"/>
      <c r="F51" s="176"/>
      <c r="G51" s="41"/>
      <c r="H51" s="38">
        <v>0</v>
      </c>
      <c r="I51" s="235">
        <v>0</v>
      </c>
      <c r="J51" s="233"/>
      <c r="K51" s="38">
        <v>0</v>
      </c>
      <c r="L51" s="38">
        <v>0</v>
      </c>
      <c r="M51" s="38"/>
      <c r="N51" s="38">
        <v>0</v>
      </c>
      <c r="O51" s="188" t="s">
        <v>385</v>
      </c>
      <c r="P51" s="176" t="s">
        <v>386</v>
      </c>
      <c r="R51" s="110">
        <v>0</v>
      </c>
      <c r="S51" s="110">
        <v>0</v>
      </c>
      <c r="T51" s="110">
        <v>0</v>
      </c>
    </row>
    <row r="52" spans="1:22" ht="12.75" customHeight="1" x14ac:dyDescent="0.25">
      <c r="A52" s="49">
        <v>1320</v>
      </c>
      <c r="B52" s="97" t="s">
        <v>387</v>
      </c>
      <c r="C52" s="51" t="s">
        <v>388</v>
      </c>
      <c r="D52" s="51" t="s">
        <v>389</v>
      </c>
      <c r="E52" s="53">
        <v>824928</v>
      </c>
      <c r="F52" s="53">
        <v>857928</v>
      </c>
      <c r="G52" s="51"/>
      <c r="H52" s="53">
        <v>862368</v>
      </c>
      <c r="I52" s="243">
        <f>SUM(I41:I51)</f>
        <v>904527.40999999992</v>
      </c>
      <c r="J52" s="53"/>
      <c r="K52" s="53">
        <v>896862.71999999997</v>
      </c>
      <c r="L52" s="53">
        <f>SUM(L41:L51)</f>
        <v>760517</v>
      </c>
      <c r="M52" s="53"/>
      <c r="N52" s="53">
        <v>932737.22879999992</v>
      </c>
      <c r="O52" s="214">
        <f>SUM(H52:N52)</f>
        <v>4357012.3587999996</v>
      </c>
      <c r="R52" s="212">
        <f>SUM(R41:R51)</f>
        <v>868608</v>
      </c>
      <c r="S52" s="212">
        <f t="shared" ref="S52:T52" si="1">SUM(S41:S51)</f>
        <v>903352.31999999995</v>
      </c>
      <c r="T52" s="212">
        <f t="shared" si="1"/>
        <v>939486.41280000005</v>
      </c>
      <c r="U52" s="213">
        <f>SUM(R52:T52)</f>
        <v>2711446.7327999999</v>
      </c>
      <c r="V52" s="216">
        <f>(U52/O52)/100</f>
        <v>6.2231788884500238E-3</v>
      </c>
    </row>
    <row r="53" spans="1:22" ht="12.75" customHeight="1" x14ac:dyDescent="0.2">
      <c r="A53" s="89">
        <v>1321</v>
      </c>
      <c r="B53" s="90" t="s">
        <v>390</v>
      </c>
      <c r="C53" s="91" t="s">
        <v>391</v>
      </c>
      <c r="D53" s="91" t="s">
        <v>392</v>
      </c>
      <c r="E53" s="98">
        <v>0</v>
      </c>
      <c r="F53" s="98">
        <v>400000</v>
      </c>
      <c r="G53" s="91"/>
      <c r="H53" s="92">
        <v>0</v>
      </c>
      <c r="I53" s="235">
        <v>0</v>
      </c>
      <c r="J53" s="92"/>
      <c r="K53" s="98">
        <v>0</v>
      </c>
      <c r="L53" s="34">
        <v>0</v>
      </c>
      <c r="M53" s="98"/>
      <c r="N53" s="98">
        <v>400000</v>
      </c>
      <c r="R53" s="110"/>
      <c r="S53" s="110"/>
      <c r="T53" s="110"/>
    </row>
    <row r="54" spans="1:22" ht="12.75" customHeight="1" x14ac:dyDescent="0.25">
      <c r="A54" s="39">
        <v>1322</v>
      </c>
      <c r="B54" s="42" t="s">
        <v>393</v>
      </c>
      <c r="C54" s="41"/>
      <c r="D54" s="41"/>
      <c r="E54" s="38">
        <v>35000</v>
      </c>
      <c r="F54" s="38">
        <v>10000</v>
      </c>
      <c r="G54" s="41"/>
      <c r="H54" s="38">
        <v>35000</v>
      </c>
      <c r="I54" s="235">
        <v>47365.88</v>
      </c>
      <c r="J54" s="38"/>
      <c r="K54" s="38">
        <v>35000</v>
      </c>
      <c r="L54" s="38">
        <v>0</v>
      </c>
      <c r="M54" s="38"/>
      <c r="N54" s="38">
        <v>10000</v>
      </c>
      <c r="O54" s="214">
        <f>O30+O52</f>
        <v>19658577.69184</v>
      </c>
      <c r="U54" s="213">
        <f>U30+U52</f>
        <v>12403310.499839999</v>
      </c>
      <c r="V54" s="215">
        <f>(U54/O54)/100</f>
        <v>6.3093631158211601E-3</v>
      </c>
    </row>
    <row r="55" spans="1:22" ht="12.75" customHeight="1" x14ac:dyDescent="0.2">
      <c r="A55" s="39">
        <v>1323</v>
      </c>
      <c r="B55" s="42" t="s">
        <v>394</v>
      </c>
      <c r="C55" s="41"/>
      <c r="D55" s="41"/>
      <c r="E55" s="38">
        <v>35000</v>
      </c>
      <c r="F55" s="38">
        <v>0</v>
      </c>
      <c r="G55" s="41"/>
      <c r="H55" s="38">
        <v>35000</v>
      </c>
      <c r="I55" s="235">
        <v>28802.47</v>
      </c>
      <c r="J55" s="38"/>
      <c r="K55" s="38">
        <v>35000</v>
      </c>
      <c r="L55" s="38">
        <v>32900</v>
      </c>
      <c r="M55" s="38"/>
      <c r="N55" s="38">
        <v>0</v>
      </c>
    </row>
    <row r="56" spans="1:22" ht="12.75" customHeight="1" x14ac:dyDescent="0.2">
      <c r="A56" s="39">
        <v>1324</v>
      </c>
      <c r="B56" s="42" t="s">
        <v>395</v>
      </c>
      <c r="C56" s="41"/>
      <c r="D56" s="41"/>
      <c r="E56" s="38">
        <v>35000</v>
      </c>
      <c r="F56" s="38">
        <v>0</v>
      </c>
      <c r="G56" s="41"/>
      <c r="H56" s="38">
        <v>35000</v>
      </c>
      <c r="I56" s="235">
        <v>28802.42</v>
      </c>
      <c r="J56" s="38"/>
      <c r="K56" s="38">
        <v>35000</v>
      </c>
      <c r="L56" s="38">
        <v>37600</v>
      </c>
      <c r="M56" s="38"/>
      <c r="N56" s="38">
        <v>0</v>
      </c>
    </row>
    <row r="57" spans="1:22" ht="12.75" customHeight="1" x14ac:dyDescent="0.2">
      <c r="A57" s="39">
        <v>1399</v>
      </c>
      <c r="B57" s="36" t="s">
        <v>396</v>
      </c>
      <c r="C57" s="37"/>
      <c r="D57" s="37"/>
      <c r="E57" s="46">
        <f>SUM(E52:E56)</f>
        <v>929928</v>
      </c>
      <c r="F57" s="46">
        <f>SUM(F52:F56)</f>
        <v>1267928</v>
      </c>
      <c r="G57" s="37"/>
      <c r="H57" s="46">
        <f>SUM(H52:H56)</f>
        <v>967368</v>
      </c>
      <c r="I57" s="240">
        <f>SUM(I52:I56)</f>
        <v>1009498.1799999999</v>
      </c>
      <c r="J57" s="46"/>
      <c r="K57" s="46">
        <f>SUM(K52:K56)</f>
        <v>1001862.72</v>
      </c>
      <c r="L57" s="52">
        <f>SUM(L52:L56)</f>
        <v>831017</v>
      </c>
      <c r="M57" s="46"/>
      <c r="N57" s="46">
        <f>SUM(N52:N56)</f>
        <v>1342737.2287999999</v>
      </c>
    </row>
    <row r="58" spans="1:22" ht="12.75" customHeight="1" x14ac:dyDescent="0.2">
      <c r="A58" s="39"/>
      <c r="B58" s="36"/>
      <c r="C58" s="37"/>
      <c r="D58" s="37"/>
      <c r="E58" s="38"/>
      <c r="G58" s="37"/>
      <c r="H58" s="38"/>
      <c r="I58" s="241"/>
      <c r="J58" s="38"/>
      <c r="K58" s="38"/>
      <c r="L58" s="38"/>
      <c r="M58" s="38"/>
      <c r="N58" s="38"/>
    </row>
    <row r="59" spans="1:22" ht="12.75" customHeight="1" x14ac:dyDescent="0.2">
      <c r="A59" s="49">
        <v>1600</v>
      </c>
      <c r="B59" s="50" t="s">
        <v>397</v>
      </c>
      <c r="C59" s="51"/>
      <c r="D59" s="51"/>
      <c r="E59" s="52"/>
      <c r="F59" s="31"/>
      <c r="G59" s="51"/>
      <c r="H59" s="53"/>
      <c r="I59" s="243"/>
      <c r="J59" s="53"/>
      <c r="K59" s="53"/>
      <c r="L59" s="53"/>
      <c r="M59" s="53"/>
      <c r="N59" s="53"/>
    </row>
    <row r="60" spans="1:22" ht="12.75" customHeight="1" x14ac:dyDescent="0.2">
      <c r="A60" s="39">
        <v>1601</v>
      </c>
      <c r="B60" s="42" t="s">
        <v>398</v>
      </c>
      <c r="C60" s="41"/>
      <c r="D60" s="41"/>
      <c r="E60" s="38">
        <v>60000</v>
      </c>
      <c r="F60" s="38">
        <v>60000</v>
      </c>
      <c r="G60" s="41"/>
      <c r="H60" s="38">
        <v>60000</v>
      </c>
      <c r="I60" s="235">
        <v>69973.58</v>
      </c>
      <c r="J60" s="38"/>
      <c r="K60" s="38">
        <v>60000</v>
      </c>
      <c r="L60" s="38">
        <v>53844</v>
      </c>
      <c r="M60" s="38"/>
      <c r="N60" s="38">
        <v>60000</v>
      </c>
    </row>
    <row r="61" spans="1:22" ht="12.75" customHeight="1" x14ac:dyDescent="0.2">
      <c r="A61" s="39">
        <v>1699</v>
      </c>
      <c r="B61" s="36" t="s">
        <v>399</v>
      </c>
      <c r="C61" s="37"/>
      <c r="D61" s="37"/>
      <c r="E61" s="53">
        <f>E60</f>
        <v>60000</v>
      </c>
      <c r="F61" s="53">
        <f>F60</f>
        <v>60000</v>
      </c>
      <c r="G61" s="37"/>
      <c r="H61" s="46">
        <f>SUM(H60:H60)</f>
        <v>60000</v>
      </c>
      <c r="I61" s="240">
        <f>SUM(I60:I60)</f>
        <v>69973.58</v>
      </c>
      <c r="J61" s="46"/>
      <c r="K61" s="46">
        <f>SUM(K60:K60)</f>
        <v>60000</v>
      </c>
      <c r="L61" s="52">
        <f>SUM(L60:L60)</f>
        <v>53844</v>
      </c>
      <c r="M61" s="46"/>
      <c r="N61" s="46">
        <f>SUM(N60:N60)</f>
        <v>60000</v>
      </c>
    </row>
    <row r="62" spans="1:22" ht="12.75" customHeight="1" x14ac:dyDescent="0.2">
      <c r="A62" s="39"/>
      <c r="B62" s="42"/>
      <c r="C62" s="41"/>
      <c r="D62" s="41"/>
      <c r="E62" s="38"/>
      <c r="F62" s="38"/>
      <c r="G62" s="41"/>
      <c r="H62" s="38"/>
      <c r="I62" s="241"/>
      <c r="J62" s="38"/>
      <c r="K62" s="38"/>
      <c r="L62" s="38"/>
      <c r="M62" s="38"/>
      <c r="N62" s="38"/>
    </row>
    <row r="63" spans="1:22" ht="12.75" customHeight="1" x14ac:dyDescent="0.2">
      <c r="A63" s="49">
        <v>10</v>
      </c>
      <c r="B63" s="36" t="s">
        <v>400</v>
      </c>
      <c r="C63" s="37"/>
      <c r="D63" s="37"/>
      <c r="E63" s="46">
        <f>E38+E57+E61+E30</f>
        <v>4190536</v>
      </c>
      <c r="F63" s="46">
        <f>F38+F57+F61+F30</f>
        <v>4690958</v>
      </c>
      <c r="G63" s="37"/>
      <c r="H63" s="46">
        <f>H38+H57+H61+H30</f>
        <v>4442252.4000000004</v>
      </c>
      <c r="I63" s="240">
        <f>I38+I57+I61+I30</f>
        <v>4393316.7699999996</v>
      </c>
      <c r="J63" s="46"/>
      <c r="K63" s="46">
        <f>K38+K57+K61+K30</f>
        <v>4602742.4959999993</v>
      </c>
      <c r="L63" s="52">
        <f>L38+L57+L61+L30</f>
        <v>3535252</v>
      </c>
      <c r="M63" s="46"/>
      <c r="N63" s="46">
        <f>N38+N57+N61+N30</f>
        <v>5129652.1958399992</v>
      </c>
    </row>
    <row r="64" spans="1:22" ht="12.75" customHeight="1" x14ac:dyDescent="0.2">
      <c r="A64" s="39"/>
      <c r="B64" s="42"/>
      <c r="C64" s="41"/>
      <c r="D64" s="41"/>
      <c r="E64" s="38"/>
      <c r="F64" s="38"/>
      <c r="G64" s="41"/>
      <c r="H64" s="38"/>
      <c r="I64" s="241"/>
      <c r="J64" s="38"/>
      <c r="K64" s="38"/>
      <c r="L64" s="38"/>
      <c r="M64" s="38"/>
      <c r="N64" s="38"/>
    </row>
    <row r="65" spans="1:14" ht="12.75" customHeight="1" x14ac:dyDescent="0.2">
      <c r="A65" s="49">
        <v>20</v>
      </c>
      <c r="B65" s="50" t="s">
        <v>401</v>
      </c>
      <c r="C65" s="51"/>
      <c r="D65" s="51"/>
      <c r="E65" s="52"/>
      <c r="F65" s="52"/>
      <c r="G65" s="51"/>
      <c r="H65" s="53"/>
      <c r="I65" s="243"/>
      <c r="J65" s="53"/>
      <c r="K65" s="53"/>
      <c r="L65" s="53"/>
      <c r="M65" s="53"/>
      <c r="N65" s="53"/>
    </row>
    <row r="66" spans="1:14" ht="12.75" customHeight="1" x14ac:dyDescent="0.2">
      <c r="A66" s="39">
        <v>2101</v>
      </c>
      <c r="B66" s="42" t="s">
        <v>402</v>
      </c>
      <c r="C66" s="41"/>
      <c r="D66" s="41"/>
      <c r="E66" s="38">
        <v>125000</v>
      </c>
      <c r="F66" s="38">
        <v>125000</v>
      </c>
      <c r="G66" s="41"/>
      <c r="H66" s="38">
        <v>125000</v>
      </c>
      <c r="I66" s="235">
        <v>0</v>
      </c>
      <c r="J66" s="38"/>
      <c r="K66" s="38">
        <v>125000</v>
      </c>
      <c r="L66" s="38">
        <v>0</v>
      </c>
      <c r="M66" s="38"/>
      <c r="N66" s="38">
        <v>125000</v>
      </c>
    </row>
    <row r="67" spans="1:14" ht="12.75" customHeight="1" x14ac:dyDescent="0.2">
      <c r="A67" s="39">
        <v>2102</v>
      </c>
      <c r="B67" s="43" t="s">
        <v>403</v>
      </c>
      <c r="C67" s="41"/>
      <c r="D67" s="41"/>
      <c r="E67" s="38">
        <v>30000</v>
      </c>
      <c r="F67" s="38">
        <v>30000</v>
      </c>
      <c r="G67" s="41"/>
      <c r="H67" s="38">
        <v>15000</v>
      </c>
      <c r="I67" s="235">
        <v>4131</v>
      </c>
      <c r="J67" s="38"/>
      <c r="K67" s="38">
        <v>15000</v>
      </c>
      <c r="L67" s="38">
        <v>0</v>
      </c>
      <c r="M67" s="38"/>
      <c r="N67" s="38">
        <v>15000</v>
      </c>
    </row>
    <row r="68" spans="1:14" ht="12.75" customHeight="1" x14ac:dyDescent="0.2">
      <c r="A68" s="39">
        <v>2103</v>
      </c>
      <c r="B68" s="43" t="s">
        <v>404</v>
      </c>
      <c r="C68" s="41"/>
      <c r="D68" s="41"/>
      <c r="E68" s="38">
        <v>0</v>
      </c>
      <c r="F68" s="38">
        <v>0</v>
      </c>
      <c r="G68" s="41"/>
      <c r="H68" s="38">
        <v>0</v>
      </c>
      <c r="I68" s="235">
        <v>10000</v>
      </c>
      <c r="J68" s="38"/>
      <c r="K68" s="38">
        <v>0</v>
      </c>
      <c r="L68" s="38">
        <v>0</v>
      </c>
      <c r="M68" s="38"/>
      <c r="N68" s="38">
        <v>0</v>
      </c>
    </row>
    <row r="69" spans="1:14" ht="12.75" customHeight="1" x14ac:dyDescent="0.2">
      <c r="A69" s="39">
        <v>2104</v>
      </c>
      <c r="B69" s="43" t="s">
        <v>405</v>
      </c>
      <c r="C69" s="41"/>
      <c r="D69" s="41"/>
      <c r="E69" s="38">
        <v>18000</v>
      </c>
      <c r="F69" s="38">
        <v>16000</v>
      </c>
      <c r="G69" s="41"/>
      <c r="H69" s="38">
        <v>10000</v>
      </c>
      <c r="I69" s="235">
        <v>0</v>
      </c>
      <c r="J69" s="38"/>
      <c r="K69" s="38">
        <v>10000</v>
      </c>
      <c r="L69" s="38">
        <v>0</v>
      </c>
      <c r="M69" s="38"/>
      <c r="N69" s="38">
        <v>10000</v>
      </c>
    </row>
    <row r="70" spans="1:14" ht="12.75" customHeight="1" x14ac:dyDescent="0.2">
      <c r="A70" s="39">
        <v>2105</v>
      </c>
      <c r="B70" s="42" t="s">
        <v>406</v>
      </c>
      <c r="C70" s="41"/>
      <c r="D70" s="41"/>
      <c r="E70" s="38">
        <v>110000</v>
      </c>
      <c r="F70" s="38">
        <v>110000</v>
      </c>
      <c r="G70" s="41"/>
      <c r="H70" s="38">
        <v>110000</v>
      </c>
      <c r="I70" s="235">
        <v>110000</v>
      </c>
      <c r="J70" s="38"/>
      <c r="K70" s="38">
        <v>110000</v>
      </c>
      <c r="L70" s="38">
        <v>110000</v>
      </c>
      <c r="M70" s="38"/>
      <c r="N70" s="38">
        <v>110000</v>
      </c>
    </row>
    <row r="71" spans="1:14" ht="12.75" customHeight="1" x14ac:dyDescent="0.2">
      <c r="A71" s="39">
        <v>2106</v>
      </c>
      <c r="B71" s="42" t="s">
        <v>407</v>
      </c>
      <c r="C71" s="41"/>
      <c r="D71" s="41"/>
      <c r="E71" s="38">
        <v>16000</v>
      </c>
      <c r="F71" s="38">
        <v>16000</v>
      </c>
      <c r="G71" s="41"/>
      <c r="H71" s="38">
        <v>10000</v>
      </c>
      <c r="I71" s="235">
        <v>7556.75</v>
      </c>
      <c r="J71" s="38"/>
      <c r="K71" s="38">
        <v>10000</v>
      </c>
      <c r="L71" s="38">
        <v>0</v>
      </c>
      <c r="M71" s="38"/>
      <c r="N71" s="38">
        <v>10000</v>
      </c>
    </row>
    <row r="72" spans="1:14" ht="12.75" customHeight="1" x14ac:dyDescent="0.2">
      <c r="A72" s="39">
        <v>20</v>
      </c>
      <c r="B72" s="36" t="s">
        <v>408</v>
      </c>
      <c r="C72" s="37"/>
      <c r="D72" s="37"/>
      <c r="E72" s="46">
        <f>SUM(E66:E71)</f>
        <v>299000</v>
      </c>
      <c r="F72" s="46">
        <f>SUM(F66:F71)</f>
        <v>297000</v>
      </c>
      <c r="G72" s="37"/>
      <c r="H72" s="46">
        <f>SUM(H66:H71)</f>
        <v>270000</v>
      </c>
      <c r="I72" s="240">
        <f>SUM(I66:I71)</f>
        <v>131687.75</v>
      </c>
      <c r="J72" s="46"/>
      <c r="K72" s="46">
        <f>SUM(K66:K71)</f>
        <v>270000</v>
      </c>
      <c r="L72" s="52">
        <f>SUM(L66:L71)</f>
        <v>110000</v>
      </c>
      <c r="M72" s="46"/>
      <c r="N72" s="46">
        <f>SUM(N66:N71)</f>
        <v>270000</v>
      </c>
    </row>
    <row r="73" spans="1:14" ht="12.75" customHeight="1" x14ac:dyDescent="0.2">
      <c r="A73" s="39"/>
      <c r="B73" s="42"/>
      <c r="C73" s="41"/>
      <c r="D73" s="41"/>
      <c r="E73" s="38"/>
      <c r="F73" s="55"/>
      <c r="G73" s="41"/>
      <c r="H73" s="38"/>
      <c r="I73" s="241"/>
      <c r="J73" s="38"/>
      <c r="K73" s="38"/>
      <c r="L73" s="38"/>
      <c r="M73" s="38"/>
      <c r="N73" s="38"/>
    </row>
    <row r="74" spans="1:14" ht="12.75" customHeight="1" x14ac:dyDescent="0.2">
      <c r="A74" s="49">
        <v>30</v>
      </c>
      <c r="B74" s="50" t="s">
        <v>409</v>
      </c>
      <c r="C74" s="51"/>
      <c r="D74" s="51"/>
      <c r="E74" s="53"/>
      <c r="F74" s="96"/>
      <c r="G74" s="51"/>
      <c r="H74" s="53"/>
      <c r="I74" s="243"/>
      <c r="J74" s="53"/>
      <c r="K74" s="53"/>
      <c r="L74" s="53"/>
      <c r="M74" s="53"/>
      <c r="N74" s="53"/>
    </row>
    <row r="75" spans="1:14" ht="12.75" customHeight="1" x14ac:dyDescent="0.2">
      <c r="A75" s="49">
        <v>3200</v>
      </c>
      <c r="B75" s="50" t="s">
        <v>410</v>
      </c>
      <c r="C75" s="51"/>
      <c r="D75" s="51"/>
      <c r="E75" s="53"/>
      <c r="F75" s="96"/>
      <c r="G75" s="51"/>
      <c r="H75" s="53"/>
      <c r="I75" s="243"/>
      <c r="J75" s="53"/>
      <c r="K75" s="53"/>
      <c r="L75" s="53"/>
      <c r="M75" s="53"/>
      <c r="N75" s="53"/>
    </row>
    <row r="76" spans="1:14" ht="12.75" customHeight="1" x14ac:dyDescent="0.2">
      <c r="A76" s="39">
        <v>3201</v>
      </c>
      <c r="B76" s="42" t="s">
        <v>411</v>
      </c>
      <c r="C76" s="41"/>
      <c r="D76" s="41"/>
      <c r="E76" s="38">
        <v>60000</v>
      </c>
      <c r="F76" s="38">
        <v>60000</v>
      </c>
      <c r="G76" s="41"/>
      <c r="H76" s="38">
        <v>30000</v>
      </c>
      <c r="I76" s="241">
        <v>30000</v>
      </c>
      <c r="J76" s="38"/>
      <c r="K76" s="38">
        <v>30000</v>
      </c>
      <c r="L76" s="38">
        <v>0</v>
      </c>
      <c r="M76" s="38"/>
      <c r="N76" s="38">
        <v>30000</v>
      </c>
    </row>
    <row r="77" spans="1:14" ht="12.75" customHeight="1" x14ac:dyDescent="0.2">
      <c r="A77" s="49">
        <v>3299</v>
      </c>
      <c r="B77" s="50" t="s">
        <v>412</v>
      </c>
      <c r="C77" s="51"/>
      <c r="D77" s="51"/>
      <c r="E77" s="52">
        <f>SUM(E76)</f>
        <v>60000</v>
      </c>
      <c r="F77" s="52">
        <f>SUM(F76)</f>
        <v>60000</v>
      </c>
      <c r="G77" s="51"/>
      <c r="H77" s="52">
        <f>SUM(H76)</f>
        <v>30000</v>
      </c>
      <c r="I77" s="244">
        <f>SUM(I76)</f>
        <v>30000</v>
      </c>
      <c r="J77" s="52"/>
      <c r="K77" s="52">
        <f>SUM(K76)</f>
        <v>30000</v>
      </c>
      <c r="L77" s="52">
        <f>SUM(L76)</f>
        <v>0</v>
      </c>
      <c r="M77" s="52"/>
      <c r="N77" s="52">
        <f>SUM(N76)</f>
        <v>30000</v>
      </c>
    </row>
    <row r="78" spans="1:14" ht="12.75" customHeight="1" x14ac:dyDescent="0.2">
      <c r="A78" s="39"/>
      <c r="B78" s="42"/>
      <c r="C78" s="41"/>
      <c r="D78" s="41"/>
      <c r="E78" s="38"/>
      <c r="F78" s="38"/>
      <c r="G78" s="41"/>
      <c r="H78" s="38"/>
      <c r="I78" s="241"/>
      <c r="J78" s="38"/>
      <c r="K78" s="38"/>
      <c r="L78" s="38"/>
      <c r="M78" s="38"/>
      <c r="N78" s="38"/>
    </row>
    <row r="79" spans="1:14" ht="12.75" customHeight="1" x14ac:dyDescent="0.2">
      <c r="A79" s="49">
        <v>3300</v>
      </c>
      <c r="B79" s="50" t="s">
        <v>413</v>
      </c>
      <c r="C79" s="51"/>
      <c r="D79" s="51"/>
      <c r="E79" s="53"/>
      <c r="F79" s="53"/>
      <c r="G79" s="51"/>
      <c r="H79" s="53"/>
      <c r="I79" s="243"/>
      <c r="J79" s="53"/>
      <c r="K79" s="53"/>
      <c r="L79" s="53"/>
      <c r="M79" s="53"/>
      <c r="N79" s="53"/>
    </row>
    <row r="80" spans="1:14" ht="12.75" customHeight="1" x14ac:dyDescent="0.2">
      <c r="A80" s="39">
        <v>3301</v>
      </c>
      <c r="B80" s="43" t="s">
        <v>414</v>
      </c>
      <c r="C80" s="41"/>
      <c r="D80" s="41"/>
      <c r="E80" s="38">
        <v>40000</v>
      </c>
      <c r="F80" s="38">
        <v>10000</v>
      </c>
      <c r="G80" s="41"/>
      <c r="H80" s="38">
        <v>40000</v>
      </c>
      <c r="I80" s="235">
        <v>30987.46</v>
      </c>
      <c r="J80" s="38"/>
      <c r="K80" s="38">
        <v>40000</v>
      </c>
      <c r="L80" s="38">
        <v>0</v>
      </c>
      <c r="M80" s="38"/>
      <c r="N80" s="38">
        <v>10000</v>
      </c>
    </row>
    <row r="81" spans="1:14" ht="12.75" customHeight="1" x14ac:dyDescent="0.2">
      <c r="A81" s="39">
        <v>3302</v>
      </c>
      <c r="B81" s="43" t="s">
        <v>415</v>
      </c>
      <c r="C81" s="41"/>
      <c r="D81" s="41"/>
      <c r="E81" s="38">
        <v>24000</v>
      </c>
      <c r="F81" s="38">
        <v>0</v>
      </c>
      <c r="G81" s="41"/>
      <c r="H81" s="38">
        <v>24000</v>
      </c>
      <c r="I81" s="235">
        <v>13065.38</v>
      </c>
      <c r="J81" s="38"/>
      <c r="K81" s="38">
        <v>24000</v>
      </c>
      <c r="L81" s="38">
        <v>20780</v>
      </c>
      <c r="M81" s="38"/>
      <c r="N81" s="38">
        <v>0</v>
      </c>
    </row>
    <row r="82" spans="1:14" ht="12.75" customHeight="1" x14ac:dyDescent="0.2">
      <c r="A82" s="39">
        <v>3303</v>
      </c>
      <c r="B82" s="43" t="s">
        <v>416</v>
      </c>
      <c r="C82" s="41"/>
      <c r="D82" s="41"/>
      <c r="E82" s="38">
        <v>24000</v>
      </c>
      <c r="F82" s="38">
        <v>0</v>
      </c>
      <c r="G82" s="41"/>
      <c r="H82" s="38">
        <v>24000</v>
      </c>
      <c r="I82" s="235">
        <v>12463.9</v>
      </c>
      <c r="J82" s="38"/>
      <c r="K82" s="38">
        <v>24000</v>
      </c>
      <c r="L82" s="38">
        <v>14899</v>
      </c>
      <c r="M82" s="38"/>
      <c r="N82" s="38">
        <v>0</v>
      </c>
    </row>
    <row r="83" spans="1:14" ht="12.75" customHeight="1" x14ac:dyDescent="0.2">
      <c r="A83" s="49">
        <v>3399</v>
      </c>
      <c r="B83" s="50" t="s">
        <v>417</v>
      </c>
      <c r="C83" s="51"/>
      <c r="D83" s="51"/>
      <c r="E83" s="52">
        <f>SUM(E80:E82)</f>
        <v>88000</v>
      </c>
      <c r="F83" s="52">
        <f>SUM(F80:F82)</f>
        <v>10000</v>
      </c>
      <c r="G83" s="51"/>
      <c r="H83" s="52">
        <f>SUM(H80:H82)</f>
        <v>88000</v>
      </c>
      <c r="I83" s="244">
        <f>SUM(I80:I82)</f>
        <v>56516.74</v>
      </c>
      <c r="J83" s="52"/>
      <c r="K83" s="52">
        <f>SUM(K80:K82)</f>
        <v>88000</v>
      </c>
      <c r="L83" s="52">
        <f>SUM(L80:L82)</f>
        <v>35679</v>
      </c>
      <c r="M83" s="52"/>
      <c r="N83" s="52">
        <f>SUM(N80:N82)</f>
        <v>10000</v>
      </c>
    </row>
    <row r="84" spans="1:14" ht="12.75" customHeight="1" x14ac:dyDescent="0.2">
      <c r="A84" s="39"/>
      <c r="B84" s="42"/>
      <c r="C84" s="41"/>
      <c r="D84" s="41"/>
      <c r="E84" s="38"/>
      <c r="G84" s="41"/>
      <c r="H84" s="38"/>
      <c r="I84" s="241"/>
      <c r="J84" s="38"/>
      <c r="K84" s="38"/>
      <c r="L84" s="38"/>
      <c r="M84" s="38"/>
      <c r="N84" s="38"/>
    </row>
    <row r="85" spans="1:14" ht="12.75" customHeight="1" x14ac:dyDescent="0.2">
      <c r="A85" s="49">
        <v>30</v>
      </c>
      <c r="B85" s="36" t="s">
        <v>418</v>
      </c>
      <c r="C85" s="37"/>
      <c r="D85" s="37"/>
      <c r="E85" s="46">
        <f>E77+E83</f>
        <v>148000</v>
      </c>
      <c r="F85" s="46">
        <f>F77+F83</f>
        <v>70000</v>
      </c>
      <c r="G85" s="37"/>
      <c r="H85" s="46">
        <f>H77+H83</f>
        <v>118000</v>
      </c>
      <c r="I85" s="240">
        <f>I77+I83</f>
        <v>86516.739999999991</v>
      </c>
      <c r="J85" s="46"/>
      <c r="K85" s="46">
        <f>K77+K83</f>
        <v>118000</v>
      </c>
      <c r="L85" s="52">
        <f>L77+L83</f>
        <v>35679</v>
      </c>
      <c r="M85" s="46"/>
      <c r="N85" s="46">
        <f>N77+N83</f>
        <v>40000</v>
      </c>
    </row>
    <row r="86" spans="1:14" ht="12.75" customHeight="1" x14ac:dyDescent="0.2">
      <c r="A86" s="39"/>
      <c r="B86" s="42"/>
      <c r="C86" s="41"/>
      <c r="D86" s="41"/>
      <c r="E86" s="38"/>
      <c r="F86" s="55"/>
      <c r="G86" s="41"/>
      <c r="H86" s="38"/>
      <c r="I86" s="241"/>
      <c r="J86" s="38"/>
      <c r="K86" s="38"/>
      <c r="L86" s="38"/>
      <c r="M86" s="38"/>
      <c r="N86" s="38"/>
    </row>
    <row r="87" spans="1:14" ht="12.75" customHeight="1" x14ac:dyDescent="0.2">
      <c r="A87" s="49">
        <v>40</v>
      </c>
      <c r="B87" s="50" t="s">
        <v>419</v>
      </c>
      <c r="C87" s="51"/>
      <c r="D87" s="51"/>
      <c r="E87" s="52"/>
      <c r="F87" s="96"/>
      <c r="G87" s="51"/>
      <c r="H87" s="53"/>
      <c r="I87" s="243"/>
      <c r="J87" s="53"/>
      <c r="K87" s="53"/>
      <c r="L87" s="53"/>
      <c r="M87" s="53"/>
      <c r="N87" s="53"/>
    </row>
    <row r="88" spans="1:14" ht="12.75" customHeight="1" x14ac:dyDescent="0.2">
      <c r="A88" s="39">
        <v>4100</v>
      </c>
      <c r="B88" s="42" t="s">
        <v>420</v>
      </c>
      <c r="C88" s="41"/>
      <c r="D88" s="41"/>
      <c r="E88" s="38"/>
      <c r="F88" s="38"/>
      <c r="G88" s="41"/>
      <c r="H88" s="38"/>
      <c r="I88" s="241"/>
      <c r="J88" s="38"/>
      <c r="K88" s="38"/>
      <c r="L88" s="38"/>
      <c r="M88" s="38"/>
      <c r="N88" s="38"/>
    </row>
    <row r="89" spans="1:14" ht="12.75" customHeight="1" x14ac:dyDescent="0.2">
      <c r="A89" s="39">
        <v>4101</v>
      </c>
      <c r="B89" s="42" t="s">
        <v>421</v>
      </c>
      <c r="C89" s="41"/>
      <c r="D89" s="41"/>
      <c r="E89" s="38">
        <v>20000</v>
      </c>
      <c r="F89" s="38">
        <v>20000</v>
      </c>
      <c r="G89" s="41"/>
      <c r="H89" s="38">
        <v>20000</v>
      </c>
      <c r="I89" s="241">
        <v>5124</v>
      </c>
      <c r="J89" s="38"/>
      <c r="K89" s="38">
        <v>20000</v>
      </c>
      <c r="L89" s="38">
        <v>16657</v>
      </c>
      <c r="M89" s="38"/>
      <c r="N89" s="38">
        <v>20000</v>
      </c>
    </row>
    <row r="90" spans="1:14" ht="12.75" customHeight="1" x14ac:dyDescent="0.2">
      <c r="A90" s="49">
        <v>4199</v>
      </c>
      <c r="B90" s="50" t="s">
        <v>422</v>
      </c>
      <c r="C90" s="51"/>
      <c r="D90" s="51"/>
      <c r="E90" s="52">
        <f>SUM(E89)</f>
        <v>20000</v>
      </c>
      <c r="F90" s="52">
        <f>SUM(F89)</f>
        <v>20000</v>
      </c>
      <c r="G90" s="51"/>
      <c r="H90" s="52">
        <f>SUM(H89)</f>
        <v>20000</v>
      </c>
      <c r="I90" s="244">
        <f>SUM(I89)</f>
        <v>5124</v>
      </c>
      <c r="J90" s="52"/>
      <c r="K90" s="52">
        <f>SUM(K89)</f>
        <v>20000</v>
      </c>
      <c r="L90" s="52">
        <f>SUM(L89)</f>
        <v>16657</v>
      </c>
      <c r="M90" s="52"/>
      <c r="N90" s="52">
        <f>SUM(N89)</f>
        <v>20000</v>
      </c>
    </row>
    <row r="91" spans="1:14" ht="12.75" customHeight="1" x14ac:dyDescent="0.2">
      <c r="A91" s="39"/>
      <c r="B91" s="42"/>
      <c r="C91" s="41"/>
      <c r="D91" s="41"/>
      <c r="E91" s="38"/>
      <c r="F91" s="38"/>
      <c r="G91" s="41"/>
      <c r="H91" s="38"/>
      <c r="I91" s="241"/>
      <c r="J91" s="38"/>
      <c r="K91" s="38"/>
      <c r="L91" s="38"/>
      <c r="M91" s="38"/>
      <c r="N91" s="38"/>
    </row>
    <row r="92" spans="1:14" ht="12.75" customHeight="1" x14ac:dyDescent="0.2">
      <c r="A92" s="49">
        <v>4200</v>
      </c>
      <c r="B92" s="50" t="s">
        <v>423</v>
      </c>
      <c r="C92" s="51"/>
      <c r="D92" s="51"/>
      <c r="E92" s="53"/>
      <c r="F92" s="53"/>
      <c r="G92" s="51"/>
      <c r="H92" s="53"/>
      <c r="I92" s="243"/>
      <c r="J92" s="53"/>
      <c r="K92" s="53"/>
      <c r="L92" s="53"/>
      <c r="M92" s="53"/>
      <c r="N92" s="53"/>
    </row>
    <row r="93" spans="1:14" ht="12.75" customHeight="1" x14ac:dyDescent="0.2">
      <c r="A93" s="39">
        <v>4201</v>
      </c>
      <c r="B93" s="42" t="s">
        <v>424</v>
      </c>
      <c r="C93" s="41"/>
      <c r="D93" s="41"/>
      <c r="E93" s="38">
        <v>20000</v>
      </c>
      <c r="F93" s="38">
        <v>20000</v>
      </c>
      <c r="G93" s="41"/>
      <c r="H93" s="38">
        <v>20000</v>
      </c>
      <c r="I93" s="241">
        <v>12846</v>
      </c>
      <c r="J93" s="38"/>
      <c r="K93" s="38">
        <v>20000</v>
      </c>
      <c r="L93" s="38">
        <v>9513</v>
      </c>
      <c r="M93" s="38"/>
      <c r="N93" s="38">
        <v>20000</v>
      </c>
    </row>
    <row r="94" spans="1:14" ht="12.75" customHeight="1" x14ac:dyDescent="0.2">
      <c r="A94" s="49">
        <v>4299</v>
      </c>
      <c r="B94" s="50" t="s">
        <v>425</v>
      </c>
      <c r="C94" s="51"/>
      <c r="D94" s="51"/>
      <c r="E94" s="52">
        <f>SUM(E93)</f>
        <v>20000</v>
      </c>
      <c r="F94" s="52">
        <f>SUM(F93)</f>
        <v>20000</v>
      </c>
      <c r="G94" s="51"/>
      <c r="H94" s="52">
        <f>SUM(H93)</f>
        <v>20000</v>
      </c>
      <c r="I94" s="244">
        <f>SUM(I93)</f>
        <v>12846</v>
      </c>
      <c r="J94" s="52"/>
      <c r="K94" s="52">
        <f>SUM(K93)</f>
        <v>20000</v>
      </c>
      <c r="L94" s="52">
        <f>SUM(L93)</f>
        <v>9513</v>
      </c>
      <c r="M94" s="52"/>
      <c r="N94" s="52">
        <f>SUM(N93)</f>
        <v>20000</v>
      </c>
    </row>
    <row r="95" spans="1:14" ht="12.75" customHeight="1" x14ac:dyDescent="0.2">
      <c r="A95" s="39"/>
      <c r="B95" s="42"/>
      <c r="C95" s="41"/>
      <c r="D95" s="41"/>
      <c r="E95" s="38"/>
      <c r="F95" s="38"/>
      <c r="G95" s="41"/>
      <c r="H95" s="38"/>
      <c r="I95" s="241"/>
      <c r="J95" s="38"/>
      <c r="K95" s="38"/>
      <c r="L95" s="38"/>
      <c r="M95" s="38"/>
      <c r="N95" s="38"/>
    </row>
    <row r="96" spans="1:14" ht="12.75" customHeight="1" x14ac:dyDescent="0.2">
      <c r="A96" s="49">
        <v>4300</v>
      </c>
      <c r="B96" s="50" t="s">
        <v>426</v>
      </c>
      <c r="C96" s="51"/>
      <c r="D96" s="51"/>
      <c r="E96" s="53"/>
      <c r="F96" s="53"/>
      <c r="G96" s="51"/>
      <c r="H96" s="53"/>
      <c r="I96" s="243"/>
      <c r="J96" s="53"/>
      <c r="K96" s="53"/>
      <c r="L96" s="53"/>
      <c r="M96" s="53"/>
      <c r="N96" s="53"/>
    </row>
    <row r="97" spans="1:14" ht="12.75" customHeight="1" x14ac:dyDescent="0.2">
      <c r="A97" s="39">
        <v>4301</v>
      </c>
      <c r="B97" s="42" t="s">
        <v>427</v>
      </c>
      <c r="C97" s="41"/>
      <c r="D97" s="41"/>
      <c r="E97" s="38">
        <v>110000</v>
      </c>
      <c r="F97" s="38">
        <v>110000</v>
      </c>
      <c r="G97" s="41"/>
      <c r="H97" s="38">
        <v>130000</v>
      </c>
      <c r="I97" s="235">
        <v>133648.93</v>
      </c>
      <c r="J97" s="38"/>
      <c r="K97" s="38">
        <v>130000</v>
      </c>
      <c r="L97" s="38">
        <v>139228</v>
      </c>
      <c r="M97" s="38"/>
      <c r="N97" s="38">
        <v>130000</v>
      </c>
    </row>
    <row r="98" spans="1:14" ht="12.75" customHeight="1" x14ac:dyDescent="0.2">
      <c r="A98" s="49">
        <v>4399</v>
      </c>
      <c r="B98" s="50" t="s">
        <v>428</v>
      </c>
      <c r="C98" s="51"/>
      <c r="D98" s="51"/>
      <c r="E98" s="52">
        <v>110000</v>
      </c>
      <c r="F98" s="52">
        <f>SUM(F97)</f>
        <v>110000</v>
      </c>
      <c r="G98" s="51"/>
      <c r="H98" s="52">
        <f>SUM(H97)</f>
        <v>130000</v>
      </c>
      <c r="I98" s="244">
        <f>SUM(I97)</f>
        <v>133648.93</v>
      </c>
      <c r="J98" s="52"/>
      <c r="K98" s="52">
        <f>SUM(K97)</f>
        <v>130000</v>
      </c>
      <c r="L98" s="52">
        <f>SUM(L97)</f>
        <v>139228</v>
      </c>
      <c r="M98" s="52"/>
      <c r="N98" s="52">
        <f>SUM(N97)</f>
        <v>130000</v>
      </c>
    </row>
    <row r="99" spans="1:14" ht="12.75" customHeight="1" x14ac:dyDescent="0.2">
      <c r="A99" s="49"/>
      <c r="B99" s="50"/>
      <c r="C99" s="51"/>
      <c r="D99" s="51"/>
      <c r="E99" s="52"/>
      <c r="F99" s="52"/>
      <c r="G99" s="51"/>
      <c r="H99" s="52"/>
      <c r="I99" s="244"/>
      <c r="J99" s="52"/>
      <c r="K99" s="52"/>
      <c r="L99" s="52"/>
      <c r="M99" s="52"/>
      <c r="N99" s="52"/>
    </row>
    <row r="100" spans="1:14" ht="12.75" customHeight="1" x14ac:dyDescent="0.2">
      <c r="A100" s="39">
        <v>40</v>
      </c>
      <c r="B100" s="36" t="s">
        <v>429</v>
      </c>
      <c r="C100" s="37"/>
      <c r="D100" s="37"/>
      <c r="E100" s="46">
        <f>E90+E94+E98</f>
        <v>150000</v>
      </c>
      <c r="F100" s="46">
        <f>F90+F94+F98</f>
        <v>150000</v>
      </c>
      <c r="G100" s="37"/>
      <c r="H100" s="46">
        <f>H90+H94+H98</f>
        <v>170000</v>
      </c>
      <c r="I100" s="240">
        <f>I90+I94+I98</f>
        <v>151618.93</v>
      </c>
      <c r="J100" s="46"/>
      <c r="K100" s="46">
        <f>K90+K94+K98</f>
        <v>170000</v>
      </c>
      <c r="L100" s="52">
        <f>L90+L94+L98</f>
        <v>165398</v>
      </c>
      <c r="M100" s="46"/>
      <c r="N100" s="46">
        <f>N90+N94+N98</f>
        <v>170000</v>
      </c>
    </row>
    <row r="101" spans="1:14" ht="12.75" customHeight="1" x14ac:dyDescent="0.2">
      <c r="A101" s="39"/>
      <c r="B101" s="42"/>
      <c r="C101" s="41"/>
      <c r="D101" s="41"/>
      <c r="E101" s="38"/>
      <c r="F101" s="38"/>
      <c r="G101" s="41"/>
      <c r="H101" s="38"/>
      <c r="I101" s="241"/>
      <c r="J101" s="38"/>
      <c r="K101" s="38"/>
      <c r="L101" s="38"/>
      <c r="M101" s="38"/>
      <c r="N101" s="38"/>
    </row>
    <row r="102" spans="1:14" ht="12.75" customHeight="1" x14ac:dyDescent="0.2">
      <c r="A102" s="49">
        <v>50</v>
      </c>
      <c r="B102" s="50" t="s">
        <v>430</v>
      </c>
      <c r="C102" s="51"/>
      <c r="D102" s="51"/>
      <c r="E102" s="53"/>
      <c r="F102" s="96"/>
      <c r="G102" s="51"/>
      <c r="H102" s="53"/>
      <c r="I102" s="243"/>
      <c r="J102" s="53"/>
      <c r="K102" s="53"/>
      <c r="L102" s="53"/>
      <c r="M102" s="53"/>
      <c r="N102" s="53"/>
    </row>
    <row r="103" spans="1:14" ht="12.75" customHeight="1" x14ac:dyDescent="0.2">
      <c r="A103" s="49">
        <v>5100</v>
      </c>
      <c r="B103" s="50" t="s">
        <v>431</v>
      </c>
      <c r="C103" s="51"/>
      <c r="D103" s="51"/>
      <c r="E103" s="52"/>
      <c r="F103" s="96"/>
      <c r="G103" s="51"/>
      <c r="H103" s="53"/>
      <c r="I103" s="243"/>
      <c r="J103" s="53"/>
      <c r="K103" s="53"/>
      <c r="L103" s="53"/>
      <c r="M103" s="53"/>
      <c r="N103" s="53"/>
    </row>
    <row r="104" spans="1:14" ht="12.75" customHeight="1" x14ac:dyDescent="0.2">
      <c r="A104" s="39">
        <v>5101</v>
      </c>
      <c r="B104" s="42" t="s">
        <v>432</v>
      </c>
      <c r="C104" s="41"/>
      <c r="D104" s="41"/>
      <c r="E104" s="38">
        <v>45000</v>
      </c>
      <c r="F104" s="38">
        <v>45000</v>
      </c>
      <c r="G104" s="41"/>
      <c r="H104" s="38">
        <v>45000</v>
      </c>
      <c r="I104" s="235">
        <v>43799.15</v>
      </c>
      <c r="J104" s="38"/>
      <c r="K104" s="38">
        <v>45000</v>
      </c>
      <c r="L104" s="38">
        <v>41181</v>
      </c>
      <c r="M104" s="38"/>
      <c r="N104" s="38">
        <v>45000</v>
      </c>
    </row>
    <row r="105" spans="1:14" ht="12.75" customHeight="1" x14ac:dyDescent="0.2">
      <c r="A105" s="39">
        <v>5199</v>
      </c>
      <c r="B105" s="36" t="s">
        <v>433</v>
      </c>
      <c r="C105" s="37"/>
      <c r="D105" s="37"/>
      <c r="E105" s="46">
        <f>SUM(E104)</f>
        <v>45000</v>
      </c>
      <c r="F105" s="46">
        <f>SUM(F104)</f>
        <v>45000</v>
      </c>
      <c r="G105" s="37"/>
      <c r="H105" s="46">
        <f>SUM(H104)</f>
        <v>45000</v>
      </c>
      <c r="I105" s="240">
        <f>SUM(I104)</f>
        <v>43799.15</v>
      </c>
      <c r="J105" s="46"/>
      <c r="K105" s="46">
        <f>SUM(K104)</f>
        <v>45000</v>
      </c>
      <c r="L105" s="52">
        <f>SUM(L104)</f>
        <v>41181</v>
      </c>
      <c r="M105" s="46"/>
      <c r="N105" s="46">
        <f>SUM(N104)</f>
        <v>45000</v>
      </c>
    </row>
    <row r="106" spans="1:14" ht="12.75" customHeight="1" x14ac:dyDescent="0.2">
      <c r="A106" s="39"/>
      <c r="B106" s="42"/>
      <c r="C106" s="41"/>
      <c r="D106" s="41"/>
      <c r="E106" s="38"/>
      <c r="F106" s="38"/>
      <c r="G106" s="41"/>
      <c r="H106" s="38"/>
      <c r="I106" s="241"/>
      <c r="J106" s="38"/>
      <c r="K106" s="38"/>
      <c r="L106" s="38"/>
      <c r="M106" s="38"/>
      <c r="N106" s="38"/>
    </row>
    <row r="107" spans="1:14" ht="12.75" customHeight="1" x14ac:dyDescent="0.2">
      <c r="A107" s="49">
        <v>5200</v>
      </c>
      <c r="B107" s="50" t="s">
        <v>434</v>
      </c>
      <c r="C107" s="51"/>
      <c r="D107" s="51"/>
      <c r="E107" s="53"/>
      <c r="F107" s="53"/>
      <c r="G107" s="51"/>
      <c r="H107" s="53"/>
      <c r="I107" s="243"/>
      <c r="J107" s="53"/>
      <c r="K107" s="53"/>
      <c r="L107" s="53"/>
      <c r="M107" s="53"/>
      <c r="N107" s="53"/>
    </row>
    <row r="108" spans="1:14" ht="12.75" customHeight="1" x14ac:dyDescent="0.2">
      <c r="A108" s="39">
        <v>5201</v>
      </c>
      <c r="B108" s="57" t="s">
        <v>435</v>
      </c>
      <c r="C108" s="41"/>
      <c r="D108" s="41"/>
      <c r="E108" s="34">
        <v>0</v>
      </c>
      <c r="F108" s="34">
        <v>120000</v>
      </c>
      <c r="G108" s="41"/>
      <c r="H108" s="38">
        <v>0</v>
      </c>
      <c r="I108" s="235">
        <v>0</v>
      </c>
      <c r="J108" s="38"/>
      <c r="K108" s="34">
        <v>0</v>
      </c>
      <c r="L108" s="34">
        <v>0</v>
      </c>
      <c r="M108" s="34"/>
      <c r="N108" s="34">
        <v>120000</v>
      </c>
    </row>
    <row r="109" spans="1:14" ht="12.75" customHeight="1" x14ac:dyDescent="0.2">
      <c r="A109" s="39">
        <v>5202</v>
      </c>
      <c r="B109" s="42" t="s">
        <v>436</v>
      </c>
      <c r="C109" s="37" t="s">
        <v>437</v>
      </c>
      <c r="D109" s="37" t="s">
        <v>438</v>
      </c>
      <c r="E109" s="38">
        <v>0</v>
      </c>
      <c r="F109" s="38">
        <v>0</v>
      </c>
      <c r="G109" s="37"/>
      <c r="H109" s="38">
        <v>0</v>
      </c>
      <c r="I109" s="235">
        <v>0</v>
      </c>
      <c r="J109" s="38"/>
      <c r="K109" s="38">
        <v>0</v>
      </c>
      <c r="L109" s="38">
        <v>0</v>
      </c>
      <c r="M109" s="38"/>
      <c r="N109" s="38">
        <v>0</v>
      </c>
    </row>
    <row r="110" spans="1:14" ht="12.75" customHeight="1" x14ac:dyDescent="0.2">
      <c r="A110" s="39">
        <v>5203</v>
      </c>
      <c r="B110" s="43" t="s">
        <v>439</v>
      </c>
      <c r="C110" s="59" t="s">
        <v>440</v>
      </c>
      <c r="D110" s="60" t="s">
        <v>441</v>
      </c>
      <c r="E110" s="38">
        <v>0</v>
      </c>
      <c r="F110" s="38">
        <v>0</v>
      </c>
      <c r="G110" s="60"/>
      <c r="H110" s="38">
        <v>0</v>
      </c>
      <c r="I110" s="235">
        <v>0</v>
      </c>
      <c r="J110" s="38"/>
      <c r="K110" s="38">
        <v>0</v>
      </c>
      <c r="L110" s="38">
        <v>0</v>
      </c>
      <c r="M110" s="38"/>
      <c r="N110" s="38">
        <v>0</v>
      </c>
    </row>
    <row r="111" spans="1:14" ht="12.75" customHeight="1" x14ac:dyDescent="0.2">
      <c r="A111" s="39">
        <v>5204</v>
      </c>
      <c r="B111" s="57" t="s">
        <v>442</v>
      </c>
      <c r="C111" s="59" t="s">
        <v>443</v>
      </c>
      <c r="D111" s="41" t="s">
        <v>444</v>
      </c>
      <c r="E111" s="38">
        <v>0</v>
      </c>
      <c r="F111" s="38">
        <v>0</v>
      </c>
      <c r="G111" s="41"/>
      <c r="H111" s="38">
        <v>0</v>
      </c>
      <c r="I111" s="235">
        <v>0</v>
      </c>
      <c r="J111" s="38"/>
      <c r="K111" s="38">
        <v>0</v>
      </c>
      <c r="L111" s="38">
        <v>0</v>
      </c>
      <c r="M111" s="38"/>
      <c r="N111" s="38">
        <v>0</v>
      </c>
    </row>
    <row r="112" spans="1:14" ht="12.75" customHeight="1" x14ac:dyDescent="0.2">
      <c r="A112" s="39">
        <v>5205</v>
      </c>
      <c r="B112" s="57" t="s">
        <v>445</v>
      </c>
      <c r="C112" s="59" t="s">
        <v>446</v>
      </c>
      <c r="D112" s="60" t="s">
        <v>447</v>
      </c>
      <c r="E112" s="38">
        <v>15000</v>
      </c>
      <c r="F112" s="38">
        <v>15000</v>
      </c>
      <c r="G112" s="60"/>
      <c r="H112" s="38">
        <v>10000</v>
      </c>
      <c r="I112" s="235">
        <f>15989.94+289</f>
        <v>16278.94</v>
      </c>
      <c r="J112" s="38"/>
      <c r="K112" s="38">
        <v>10000</v>
      </c>
      <c r="L112" s="38">
        <v>16248</v>
      </c>
      <c r="M112" s="38"/>
      <c r="N112" s="38">
        <v>10000</v>
      </c>
    </row>
    <row r="113" spans="1:14" ht="12.75" customHeight="1" x14ac:dyDescent="0.2">
      <c r="A113" s="39">
        <v>5206</v>
      </c>
      <c r="B113" s="57" t="s">
        <v>448</v>
      </c>
      <c r="C113" s="60" t="s">
        <v>449</v>
      </c>
      <c r="D113" s="60" t="s">
        <v>450</v>
      </c>
      <c r="E113" s="38">
        <v>10000</v>
      </c>
      <c r="F113" s="38">
        <v>10000</v>
      </c>
      <c r="G113" s="60"/>
      <c r="H113" s="38">
        <v>0</v>
      </c>
      <c r="I113" s="235">
        <v>0</v>
      </c>
      <c r="J113" s="38"/>
      <c r="K113" s="38">
        <v>0</v>
      </c>
      <c r="L113" s="38">
        <v>0</v>
      </c>
      <c r="M113" s="38"/>
      <c r="N113" s="38">
        <v>0</v>
      </c>
    </row>
    <row r="114" spans="1:14" ht="12.75" customHeight="1" x14ac:dyDescent="0.2">
      <c r="A114" s="39">
        <v>5299</v>
      </c>
      <c r="B114" s="61" t="s">
        <v>451</v>
      </c>
      <c r="C114" s="62" t="s">
        <v>452</v>
      </c>
      <c r="D114" s="62" t="s">
        <v>453</v>
      </c>
      <c r="E114" s="46">
        <f>SUM(E108:E113)</f>
        <v>25000</v>
      </c>
      <c r="F114" s="46">
        <f>SUM(F108:F113)</f>
        <v>145000</v>
      </c>
      <c r="G114" s="62"/>
      <c r="H114" s="46">
        <f>SUM(H108:H113)</f>
        <v>10000</v>
      </c>
      <c r="I114" s="240">
        <f>SUM(I108:I113)</f>
        <v>16278.94</v>
      </c>
      <c r="J114" s="46"/>
      <c r="K114" s="46">
        <f>SUM(K108:K113)</f>
        <v>10000</v>
      </c>
      <c r="L114" s="52">
        <f>SUM(L108:L113)</f>
        <v>16248</v>
      </c>
      <c r="M114" s="46"/>
      <c r="N114" s="46">
        <f>SUM(N108:N113)</f>
        <v>130000</v>
      </c>
    </row>
    <row r="115" spans="1:14" ht="12.75" customHeight="1" x14ac:dyDescent="0.2">
      <c r="A115" s="39"/>
      <c r="B115" s="57"/>
      <c r="C115" s="63" t="s">
        <v>454</v>
      </c>
      <c r="D115" s="60" t="s">
        <v>455</v>
      </c>
      <c r="E115" s="38"/>
      <c r="G115" s="60"/>
      <c r="H115" s="38"/>
      <c r="I115" s="241"/>
      <c r="J115" s="38"/>
      <c r="K115" s="38"/>
      <c r="L115" s="38"/>
      <c r="M115" s="38"/>
      <c r="N115" s="38"/>
    </row>
    <row r="116" spans="1:14" ht="12.75" customHeight="1" x14ac:dyDescent="0.2">
      <c r="A116" s="49">
        <v>5300</v>
      </c>
      <c r="B116" s="99" t="s">
        <v>456</v>
      </c>
      <c r="C116" s="100" t="s">
        <v>457</v>
      </c>
      <c r="D116" s="100" t="s">
        <v>458</v>
      </c>
      <c r="E116" s="53"/>
      <c r="F116" s="31"/>
      <c r="G116" s="100"/>
      <c r="H116" s="53"/>
      <c r="I116" s="243"/>
      <c r="J116" s="53"/>
      <c r="K116" s="53"/>
      <c r="L116" s="53"/>
      <c r="M116" s="53"/>
      <c r="N116" s="53"/>
    </row>
    <row r="117" spans="1:14" ht="12.75" customHeight="1" x14ac:dyDescent="0.2">
      <c r="A117" s="39">
        <v>5301</v>
      </c>
      <c r="B117" s="41" t="s">
        <v>459</v>
      </c>
      <c r="C117" s="37" t="s">
        <v>460</v>
      </c>
      <c r="D117" s="37" t="s">
        <v>461</v>
      </c>
      <c r="E117" s="38">
        <v>70000</v>
      </c>
      <c r="F117" s="38">
        <v>70000</v>
      </c>
      <c r="G117" s="37"/>
      <c r="H117" s="38">
        <v>60000</v>
      </c>
      <c r="I117" s="235">
        <v>78100.87</v>
      </c>
      <c r="J117" s="38"/>
      <c r="K117" s="38">
        <v>60000</v>
      </c>
      <c r="L117" s="38">
        <v>60563</v>
      </c>
      <c r="M117" s="38"/>
      <c r="N117" s="38">
        <v>60000</v>
      </c>
    </row>
    <row r="118" spans="1:14" ht="12.75" customHeight="1" x14ac:dyDescent="0.2">
      <c r="A118" s="39">
        <v>5302</v>
      </c>
      <c r="B118" s="64" t="s">
        <v>462</v>
      </c>
      <c r="C118" s="60"/>
      <c r="D118" s="60"/>
      <c r="E118" s="38">
        <v>0</v>
      </c>
      <c r="F118" s="38">
        <v>30000</v>
      </c>
      <c r="G118" s="60"/>
      <c r="H118" s="38">
        <v>0</v>
      </c>
      <c r="I118" s="235">
        <v>0</v>
      </c>
      <c r="J118" s="38"/>
      <c r="K118" s="38">
        <v>0</v>
      </c>
      <c r="L118" s="38">
        <v>0</v>
      </c>
      <c r="M118" s="38"/>
      <c r="N118" s="38">
        <v>30000</v>
      </c>
    </row>
    <row r="119" spans="1:14" ht="12.75" customHeight="1" x14ac:dyDescent="0.2">
      <c r="A119" s="39">
        <v>5303</v>
      </c>
      <c r="B119" s="57" t="s">
        <v>463</v>
      </c>
      <c r="C119" s="62" t="s">
        <v>464</v>
      </c>
      <c r="D119" s="62" t="s">
        <v>465</v>
      </c>
      <c r="E119" s="38">
        <v>10000</v>
      </c>
      <c r="F119" s="38">
        <v>0</v>
      </c>
      <c r="G119" s="62"/>
      <c r="H119" s="38">
        <v>15000</v>
      </c>
      <c r="I119" s="235">
        <v>24265.599999999999</v>
      </c>
      <c r="J119" s="38"/>
      <c r="K119" s="38">
        <v>15000</v>
      </c>
      <c r="L119" s="38">
        <v>-6213</v>
      </c>
      <c r="M119" s="38"/>
      <c r="N119" s="38">
        <v>0</v>
      </c>
    </row>
    <row r="120" spans="1:14" ht="12.75" customHeight="1" x14ac:dyDescent="0.2">
      <c r="A120" s="39">
        <v>5304</v>
      </c>
      <c r="B120" s="57" t="s">
        <v>466</v>
      </c>
      <c r="C120" s="41" t="s">
        <v>467</v>
      </c>
      <c r="D120" s="41" t="s">
        <v>468</v>
      </c>
      <c r="E120" s="38">
        <v>10000</v>
      </c>
      <c r="F120" s="38">
        <v>0</v>
      </c>
      <c r="G120" s="41"/>
      <c r="H120" s="38">
        <v>10000</v>
      </c>
      <c r="I120" s="235">
        <v>854.93</v>
      </c>
      <c r="J120" s="38"/>
      <c r="K120" s="38">
        <v>10000</v>
      </c>
      <c r="L120" s="38">
        <v>0</v>
      </c>
      <c r="M120" s="38"/>
      <c r="N120" s="38">
        <v>0</v>
      </c>
    </row>
    <row r="121" spans="1:14" ht="12.75" customHeight="1" x14ac:dyDescent="0.2">
      <c r="A121" s="39">
        <v>5305</v>
      </c>
      <c r="B121" s="57" t="s">
        <v>469</v>
      </c>
      <c r="C121" s="41" t="s">
        <v>470</v>
      </c>
      <c r="D121" s="41" t="s">
        <v>471</v>
      </c>
      <c r="E121" s="38">
        <v>10000</v>
      </c>
      <c r="F121" s="38">
        <v>0</v>
      </c>
      <c r="G121" s="41"/>
      <c r="H121" s="38">
        <v>10000</v>
      </c>
      <c r="I121" s="235">
        <v>829</v>
      </c>
      <c r="J121" s="38"/>
      <c r="K121" s="38">
        <v>10000</v>
      </c>
      <c r="L121" s="38">
        <v>0</v>
      </c>
      <c r="M121" s="38"/>
      <c r="N121" s="38">
        <v>0</v>
      </c>
    </row>
    <row r="122" spans="1:14" ht="12.75" customHeight="1" x14ac:dyDescent="0.2">
      <c r="A122" s="39">
        <v>5306</v>
      </c>
      <c r="B122" s="65" t="s">
        <v>472</v>
      </c>
      <c r="C122" s="59" t="s">
        <v>473</v>
      </c>
      <c r="D122" s="59" t="s">
        <v>474</v>
      </c>
      <c r="E122" s="38">
        <v>10000</v>
      </c>
      <c r="F122" s="38">
        <v>10000</v>
      </c>
      <c r="G122" s="59"/>
      <c r="H122" s="38">
        <v>10000</v>
      </c>
      <c r="I122" s="235">
        <v>625.27</v>
      </c>
      <c r="J122" s="38"/>
      <c r="K122" s="38">
        <v>10000</v>
      </c>
      <c r="L122" s="38">
        <v>291</v>
      </c>
      <c r="M122" s="38"/>
      <c r="N122" s="38">
        <v>10000</v>
      </c>
    </row>
    <row r="123" spans="1:14" ht="12.75" customHeight="1" x14ac:dyDescent="0.2">
      <c r="A123" s="49">
        <v>5399</v>
      </c>
      <c r="B123" s="101" t="s">
        <v>475</v>
      </c>
      <c r="C123" s="100" t="s">
        <v>476</v>
      </c>
      <c r="D123" s="100" t="s">
        <v>477</v>
      </c>
      <c r="E123" s="52">
        <f>SUM(E117:E122)</f>
        <v>110000</v>
      </c>
      <c r="F123" s="52">
        <f>SUM(F117:F122)</f>
        <v>110000</v>
      </c>
      <c r="G123" s="100"/>
      <c r="H123" s="52">
        <f>SUM(H117:H122)</f>
        <v>105000</v>
      </c>
      <c r="I123" s="244">
        <f>SUM(I117:I122)</f>
        <v>104675.67</v>
      </c>
      <c r="J123" s="52"/>
      <c r="K123" s="52">
        <f>SUM(K117:K122)</f>
        <v>105000</v>
      </c>
      <c r="L123" s="52">
        <f>SUM(L117:L122)</f>
        <v>54641</v>
      </c>
      <c r="M123" s="52"/>
      <c r="N123" s="52">
        <f>SUM(N117:N122)</f>
        <v>100000</v>
      </c>
    </row>
    <row r="124" spans="1:14" ht="12.75" customHeight="1" x14ac:dyDescent="0.2">
      <c r="A124" s="39"/>
      <c r="B124" s="57"/>
      <c r="C124" s="60" t="s">
        <v>478</v>
      </c>
      <c r="D124" s="60" t="s">
        <v>479</v>
      </c>
      <c r="E124" s="38"/>
      <c r="F124" s="55"/>
      <c r="G124" s="60"/>
      <c r="H124" s="38"/>
      <c r="I124" s="241"/>
      <c r="J124" s="38"/>
      <c r="K124" s="38"/>
      <c r="L124" s="38"/>
      <c r="M124" s="38"/>
      <c r="N124" s="38"/>
    </row>
    <row r="125" spans="1:14" ht="12.75" customHeight="1" x14ac:dyDescent="0.2">
      <c r="A125" s="49">
        <v>5400</v>
      </c>
      <c r="B125" s="102" t="s">
        <v>480</v>
      </c>
      <c r="C125" s="103" t="s">
        <v>481</v>
      </c>
      <c r="D125" s="103" t="s">
        <v>482</v>
      </c>
      <c r="E125" s="53"/>
      <c r="F125" s="96"/>
      <c r="G125" s="103"/>
      <c r="H125" s="53"/>
      <c r="I125" s="243"/>
      <c r="J125" s="53"/>
      <c r="K125" s="53"/>
      <c r="L125" s="53"/>
      <c r="M125" s="53"/>
      <c r="N125" s="53"/>
    </row>
    <row r="126" spans="1:14" ht="12.75" customHeight="1" x14ac:dyDescent="0.2">
      <c r="A126" s="39">
        <v>5401</v>
      </c>
      <c r="B126" s="41" t="s">
        <v>483</v>
      </c>
      <c r="C126" s="37" t="s">
        <v>484</v>
      </c>
      <c r="D126" s="37" t="s">
        <v>485</v>
      </c>
      <c r="E126" s="38">
        <v>5000</v>
      </c>
      <c r="F126" s="38">
        <v>5000</v>
      </c>
      <c r="G126" s="37"/>
      <c r="H126" s="38">
        <v>5000</v>
      </c>
      <c r="I126" s="235">
        <v>1392.34</v>
      </c>
      <c r="J126" s="38"/>
      <c r="K126" s="38">
        <v>5000</v>
      </c>
      <c r="L126" s="38">
        <v>603</v>
      </c>
      <c r="M126" s="38"/>
      <c r="N126" s="38">
        <v>5000</v>
      </c>
    </row>
    <row r="127" spans="1:14" ht="12.75" customHeight="1" x14ac:dyDescent="0.2">
      <c r="A127" s="49">
        <v>5499</v>
      </c>
      <c r="B127" s="102" t="s">
        <v>486</v>
      </c>
      <c r="C127" s="103"/>
      <c r="D127" s="103"/>
      <c r="E127" s="52">
        <v>5000</v>
      </c>
      <c r="F127" s="52">
        <f>SUM(F126)</f>
        <v>5000</v>
      </c>
      <c r="G127" s="103"/>
      <c r="H127" s="52">
        <f>SUM(H126)</f>
        <v>5000</v>
      </c>
      <c r="I127" s="244">
        <f>SUM(I126)</f>
        <v>1392.34</v>
      </c>
      <c r="J127" s="52"/>
      <c r="K127" s="52">
        <f>SUM(K126)</f>
        <v>5000</v>
      </c>
      <c r="L127" s="52">
        <f>SUM(L126)</f>
        <v>603</v>
      </c>
      <c r="M127" s="52"/>
      <c r="N127" s="52">
        <f>SUM(N126)</f>
        <v>5000</v>
      </c>
    </row>
    <row r="128" spans="1:14" ht="12.75" customHeight="1" x14ac:dyDescent="0.2">
      <c r="A128" s="39"/>
      <c r="B128" s="66"/>
      <c r="C128" s="56" t="s">
        <v>487</v>
      </c>
      <c r="D128" s="56" t="s">
        <v>488</v>
      </c>
      <c r="E128" s="38"/>
      <c r="F128" s="38"/>
      <c r="G128" s="56"/>
      <c r="H128" s="38"/>
      <c r="I128" s="241"/>
      <c r="J128" s="38"/>
      <c r="K128" s="38"/>
      <c r="L128" s="38"/>
      <c r="M128" s="38"/>
      <c r="N128" s="38"/>
    </row>
    <row r="129" spans="1:14" ht="12.75" customHeight="1" x14ac:dyDescent="0.2">
      <c r="A129" s="39">
        <v>50</v>
      </c>
      <c r="B129" s="45" t="s">
        <v>489</v>
      </c>
      <c r="C129" s="56" t="s">
        <v>490</v>
      </c>
      <c r="D129" s="56" t="s">
        <v>491</v>
      </c>
      <c r="E129" s="46">
        <f>E105+E114+E123+E127</f>
        <v>185000</v>
      </c>
      <c r="F129" s="46">
        <f>F105+F114+F123+F127</f>
        <v>305000</v>
      </c>
      <c r="G129" s="56"/>
      <c r="H129" s="46">
        <f>H105+H114+H123+H127</f>
        <v>165000</v>
      </c>
      <c r="I129" s="240">
        <f>I105+I114+I123+I127</f>
        <v>166146.1</v>
      </c>
      <c r="J129" s="46"/>
      <c r="K129" s="46">
        <f>K105+K114+K123+K127</f>
        <v>165000</v>
      </c>
      <c r="L129" s="52">
        <f>L105+L114+L123+L127</f>
        <v>112673</v>
      </c>
      <c r="M129" s="46"/>
      <c r="N129" s="46">
        <f>N105+N114+N123+N127</f>
        <v>280000</v>
      </c>
    </row>
    <row r="130" spans="1:14" ht="12.75" customHeight="1" x14ac:dyDescent="0.2">
      <c r="A130" s="39"/>
      <c r="B130" s="42"/>
      <c r="C130" s="41" t="s">
        <v>492</v>
      </c>
      <c r="D130" s="41" t="s">
        <v>493</v>
      </c>
      <c r="E130" s="38"/>
      <c r="G130" s="41"/>
      <c r="H130" s="38"/>
      <c r="I130" s="241"/>
      <c r="J130" s="38"/>
      <c r="K130" s="38"/>
      <c r="L130" s="38"/>
      <c r="M130" s="38"/>
      <c r="N130" s="38"/>
    </row>
    <row r="131" spans="1:14" ht="12.75" customHeight="1" x14ac:dyDescent="0.2">
      <c r="A131" s="39"/>
      <c r="B131" s="45" t="s">
        <v>494</v>
      </c>
      <c r="C131" s="56" t="s">
        <v>495</v>
      </c>
      <c r="D131" s="56" t="s">
        <v>496</v>
      </c>
      <c r="E131" s="46">
        <f>E63+E72+E85+E100+E129</f>
        <v>4972536</v>
      </c>
      <c r="F131" s="46">
        <f>F63+F72+F85+F100+F129</f>
        <v>5512958</v>
      </c>
      <c r="G131" s="56"/>
      <c r="H131" s="46">
        <f>H63+H72+H85+H100+H129</f>
        <v>5165252.4000000004</v>
      </c>
      <c r="I131" s="240">
        <f>I63+I72+I85+I100+I129</f>
        <v>4929286.2899999991</v>
      </c>
      <c r="J131" s="46"/>
      <c r="K131" s="46">
        <f>K63+K72+K85+K100+K129</f>
        <v>5325742.4959999993</v>
      </c>
      <c r="L131" s="52">
        <f>L63+L72+L85+L100+L129</f>
        <v>3959002</v>
      </c>
      <c r="M131" s="46"/>
      <c r="N131" s="46">
        <f>N63+N72+N85+N100+N129</f>
        <v>5889652.1958399992</v>
      </c>
    </row>
    <row r="132" spans="1:14" ht="12.75" customHeight="1" x14ac:dyDescent="0.2">
      <c r="A132" s="67"/>
      <c r="B132" s="68" t="s">
        <v>497</v>
      </c>
      <c r="C132" s="58" t="s">
        <v>498</v>
      </c>
      <c r="D132" s="58" t="s">
        <v>499</v>
      </c>
      <c r="E132" s="54">
        <f>E131*0.13</f>
        <v>646429.68000000005</v>
      </c>
      <c r="F132" s="54">
        <f>F131*0.13</f>
        <v>716684.54</v>
      </c>
      <c r="G132" s="58"/>
      <c r="H132" s="54">
        <f>H131*0.13</f>
        <v>671482.81200000003</v>
      </c>
      <c r="I132" s="245">
        <f>I131*0.13</f>
        <v>640807.21769999992</v>
      </c>
      <c r="J132" s="54"/>
      <c r="K132" s="54">
        <f>K131*0.13</f>
        <v>692346.52447999991</v>
      </c>
      <c r="L132" s="54">
        <f>L131*0.13</f>
        <v>514670.26</v>
      </c>
      <c r="M132" s="54"/>
      <c r="N132" s="54">
        <f>N131*0.13</f>
        <v>765654.78545919992</v>
      </c>
    </row>
    <row r="133" spans="1:14" ht="12.75" customHeight="1" x14ac:dyDescent="0.2">
      <c r="A133" s="36"/>
      <c r="B133" s="36" t="s">
        <v>500</v>
      </c>
      <c r="C133" s="37" t="s">
        <v>501</v>
      </c>
      <c r="D133" s="37" t="s">
        <v>502</v>
      </c>
      <c r="E133" s="46">
        <f>E131+E132</f>
        <v>5618965.6799999997</v>
      </c>
      <c r="F133" s="104">
        <f>F131+F132</f>
        <v>6229642.54</v>
      </c>
      <c r="G133" s="37"/>
      <c r="H133" s="46">
        <f>H131+H132</f>
        <v>5836735.2120000003</v>
      </c>
      <c r="I133" s="240">
        <f>I131+I132</f>
        <v>5570093.507699999</v>
      </c>
      <c r="J133" s="46"/>
      <c r="K133" s="46">
        <f>K131+K132</f>
        <v>6018089.0204799995</v>
      </c>
      <c r="L133" s="52">
        <f>L131+L132</f>
        <v>4473672.26</v>
      </c>
      <c r="M133" s="46"/>
      <c r="N133" s="46">
        <f>N131+N132</f>
        <v>6655306.9812991992</v>
      </c>
    </row>
    <row r="134" spans="1:14" ht="12.75" customHeight="1" x14ac:dyDescent="0.2">
      <c r="A134" s="55"/>
      <c r="B134" s="55"/>
      <c r="C134" s="55"/>
      <c r="D134" s="105"/>
      <c r="E134" s="106"/>
      <c r="F134" s="38">
        <f>E133+F133</f>
        <v>11848608.219999999</v>
      </c>
      <c r="G134" s="106"/>
      <c r="H134" s="55"/>
      <c r="I134" s="246"/>
      <c r="J134" s="55"/>
      <c r="K134" s="55"/>
      <c r="L134" s="281"/>
      <c r="M134" s="55"/>
      <c r="N134" s="107">
        <f>H133+K133+N133</f>
        <v>18510131.2137792</v>
      </c>
    </row>
    <row r="135" spans="1:14" ht="12.75" customHeight="1" x14ac:dyDescent="0.2">
      <c r="E135" s="232" t="e">
        <f>E133/D133</f>
        <v>#VALUE!</v>
      </c>
      <c r="F135" s="69">
        <f>F134/2</f>
        <v>5924304.1099999994</v>
      </c>
      <c r="N135" s="108">
        <f>N134/3</f>
        <v>6170043.7379264003</v>
      </c>
    </row>
    <row r="136" spans="1:14" ht="12.75" customHeight="1" x14ac:dyDescent="0.2">
      <c r="B136" t="s">
        <v>503</v>
      </c>
      <c r="F136" s="69"/>
      <c r="I136" s="247">
        <f>I133/H133</f>
        <v>0.95431663513674547</v>
      </c>
      <c r="L136" s="282">
        <f>L133/K133</f>
        <v>0.74337090142331963</v>
      </c>
      <c r="N136" s="108"/>
    </row>
    <row r="137" spans="1:14" ht="12.75" customHeight="1" x14ac:dyDescent="0.2">
      <c r="F137" s="69"/>
      <c r="N137" s="108"/>
    </row>
    <row r="138" spans="1:14" ht="12.75" customHeight="1" x14ac:dyDescent="0.2">
      <c r="F138" s="69"/>
      <c r="N138" s="108"/>
    </row>
    <row r="139" spans="1:14" ht="12.75" customHeight="1" x14ac:dyDescent="0.2">
      <c r="F139" s="109"/>
      <c r="N139" s="108"/>
    </row>
    <row r="140" spans="1:14" x14ac:dyDescent="0.2">
      <c r="A140" s="31"/>
      <c r="B140" s="31"/>
      <c r="C140" s="31"/>
      <c r="D140" s="31"/>
      <c r="E140" s="31"/>
      <c r="F140" s="31"/>
      <c r="G140" s="31"/>
      <c r="H140" s="31"/>
      <c r="I140" s="248"/>
      <c r="J140" s="31"/>
      <c r="K140" s="112"/>
      <c r="L140" s="112"/>
      <c r="M140" s="112"/>
      <c r="N140" s="31"/>
    </row>
    <row r="141" spans="1:14" x14ac:dyDescent="0.2">
      <c r="B141" s="31" t="s">
        <v>504</v>
      </c>
      <c r="C141" t="s">
        <v>505</v>
      </c>
      <c r="K141" s="110">
        <f>F135</f>
        <v>5924304.1099999994</v>
      </c>
      <c r="L141" s="210"/>
      <c r="M141" s="110"/>
    </row>
    <row r="142" spans="1:14" x14ac:dyDescent="0.2">
      <c r="B142" s="31" t="s">
        <v>506</v>
      </c>
      <c r="K142" s="110">
        <f>N134/3</f>
        <v>6170043.7379264003</v>
      </c>
      <c r="L142" s="210"/>
      <c r="M142" s="110"/>
    </row>
    <row r="143" spans="1:14" x14ac:dyDescent="0.2">
      <c r="B143" s="31" t="s">
        <v>507</v>
      </c>
      <c r="K143" s="111">
        <f>K142-K141</f>
        <v>245739.62792640086</v>
      </c>
      <c r="L143" s="283"/>
      <c r="M143" s="111"/>
    </row>
    <row r="144" spans="1:14" x14ac:dyDescent="0.2">
      <c r="B144" s="31" t="s">
        <v>508</v>
      </c>
      <c r="C144" s="31"/>
      <c r="D144" s="31"/>
      <c r="E144" s="31"/>
      <c r="F144" s="31"/>
      <c r="G144" s="31"/>
      <c r="H144" s="31"/>
      <c r="I144" s="248"/>
      <c r="J144" s="31"/>
      <c r="K144" s="112">
        <f>K143/(K141/100)</f>
        <v>4.1479914495206573</v>
      </c>
      <c r="L144" s="112"/>
      <c r="M144" s="112"/>
    </row>
  </sheetData>
  <mergeCells count="25">
    <mergeCell ref="F5:F6"/>
    <mergeCell ref="R5:R6"/>
    <mergeCell ref="S5:S6"/>
    <mergeCell ref="T5:T6"/>
    <mergeCell ref="R7:R8"/>
    <mergeCell ref="S7:S8"/>
    <mergeCell ref="T7:T8"/>
    <mergeCell ref="I5:I6"/>
    <mergeCell ref="L5:L6"/>
    <mergeCell ref="A1:B1"/>
    <mergeCell ref="N5:N6"/>
    <mergeCell ref="E7:E8"/>
    <mergeCell ref="F7:F8"/>
    <mergeCell ref="H7:H8"/>
    <mergeCell ref="K7:K8"/>
    <mergeCell ref="N7:N8"/>
    <mergeCell ref="A3:N3"/>
    <mergeCell ref="A5:A8"/>
    <mergeCell ref="B5:B8"/>
    <mergeCell ref="G5:G8"/>
    <mergeCell ref="H5:H6"/>
    <mergeCell ref="K5:K6"/>
    <mergeCell ref="C5:C8"/>
    <mergeCell ref="D5:D8"/>
    <mergeCell ref="E5:E6"/>
  </mergeCells>
  <phoneticPr fontId="2" type="noConversion"/>
  <printOptions horizontalCentered="1"/>
  <pageMargins left="0" right="0" top="0.78740157480314965" bottom="0.59055118110236227" header="0.51181102362204722" footer="0.51181102362204722"/>
  <pageSetup paperSize="9" scale="85" orientation="portrait" r:id="rId1"/>
  <headerFooter alignWithMargins="0">
    <oddFooter>&amp;CResolution Conf. 16.2, Annex 2 – p. &amp;P</oddFooter>
  </headerFooter>
  <rowBreaks count="1" manualBreakCount="1">
    <brk id="94"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65"/>
  <sheetViews>
    <sheetView workbookViewId="0">
      <pane ySplit="7" topLeftCell="A140" activePane="bottomLeft" state="frozen"/>
      <selection pane="bottomLeft" activeCell="L151" sqref="L151"/>
    </sheetView>
  </sheetViews>
  <sheetFormatPr defaultRowHeight="12.75" x14ac:dyDescent="0.2"/>
  <cols>
    <col min="1" max="1" width="9.42578125" customWidth="1"/>
    <col min="2" max="2" width="42" customWidth="1"/>
    <col min="3" max="5" width="12.7109375" customWidth="1"/>
    <col min="6" max="6" width="8.42578125" customWidth="1"/>
    <col min="7" max="7" width="12.7109375" customWidth="1"/>
    <col min="8" max="8" width="22.7109375" customWidth="1"/>
    <col min="9" max="9" width="3.85546875" customWidth="1"/>
    <col min="10" max="12" width="12.7109375" customWidth="1"/>
    <col min="13" max="13" width="10" customWidth="1"/>
    <col min="14" max="14" width="6.42578125" customWidth="1"/>
    <col min="15" max="15" width="12.7109375" customWidth="1"/>
    <col min="16" max="16" width="5" customWidth="1"/>
  </cols>
  <sheetData>
    <row r="1" spans="1:17" ht="21" x14ac:dyDescent="0.35">
      <c r="A1" s="295" t="s">
        <v>509</v>
      </c>
      <c r="B1" s="295"/>
      <c r="O1" s="32"/>
    </row>
    <row r="2" spans="1:17" s="31" customFormat="1" x14ac:dyDescent="0.2"/>
    <row r="3" spans="1:17" s="31" customFormat="1" x14ac:dyDescent="0.2">
      <c r="A3" s="302" t="s">
        <v>510</v>
      </c>
      <c r="B3" s="302"/>
      <c r="C3" s="302"/>
      <c r="D3" s="302"/>
      <c r="E3" s="302"/>
      <c r="F3" s="302"/>
      <c r="G3" s="302"/>
      <c r="H3" s="302"/>
      <c r="I3" s="302"/>
      <c r="J3" s="302"/>
      <c r="K3" s="302"/>
      <c r="L3" s="302"/>
      <c r="M3" s="302"/>
      <c r="N3" s="302"/>
      <c r="O3" s="302"/>
    </row>
    <row r="5" spans="1:17" ht="12.75" customHeight="1" x14ac:dyDescent="0.2">
      <c r="A5" s="311" t="s">
        <v>511</v>
      </c>
      <c r="B5" s="298" t="s">
        <v>512</v>
      </c>
      <c r="C5" s="296">
        <v>2014</v>
      </c>
      <c r="D5" s="296">
        <v>2014</v>
      </c>
      <c r="E5" s="296">
        <v>2014</v>
      </c>
      <c r="F5" s="313"/>
      <c r="G5" s="296">
        <v>2014</v>
      </c>
      <c r="H5" s="296">
        <v>2014</v>
      </c>
      <c r="I5" s="296"/>
      <c r="J5" s="296">
        <v>2015</v>
      </c>
      <c r="K5" s="296">
        <v>2015</v>
      </c>
      <c r="L5" s="296">
        <v>2015</v>
      </c>
      <c r="M5" s="296">
        <v>2015</v>
      </c>
      <c r="N5" s="226"/>
      <c r="O5" s="296">
        <v>2016</v>
      </c>
    </row>
    <row r="6" spans="1:17" x14ac:dyDescent="0.2">
      <c r="A6" s="312"/>
      <c r="B6" s="299"/>
      <c r="C6" s="297"/>
      <c r="D6" s="297"/>
      <c r="E6" s="297"/>
      <c r="F6" s="297"/>
      <c r="G6" s="297"/>
      <c r="H6" s="297"/>
      <c r="I6" s="297"/>
      <c r="J6" s="297"/>
      <c r="K6" s="297"/>
      <c r="L6" s="297"/>
      <c r="M6" s="297"/>
      <c r="N6" s="227"/>
      <c r="O6" s="297"/>
    </row>
    <row r="7" spans="1:17" ht="24" x14ac:dyDescent="0.2">
      <c r="A7" s="33"/>
      <c r="B7" s="33"/>
      <c r="C7" s="251" t="s">
        <v>513</v>
      </c>
      <c r="D7" s="251" t="s">
        <v>514</v>
      </c>
      <c r="E7" s="251" t="s">
        <v>515</v>
      </c>
      <c r="F7" s="251" t="s">
        <v>516</v>
      </c>
      <c r="G7" s="253" t="s">
        <v>517</v>
      </c>
      <c r="H7" s="251" t="s">
        <v>518</v>
      </c>
      <c r="I7" s="236"/>
      <c r="J7" s="251" t="s">
        <v>519</v>
      </c>
      <c r="K7" s="253" t="s">
        <v>520</v>
      </c>
      <c r="L7" s="253" t="s">
        <v>521</v>
      </c>
      <c r="M7" s="251" t="s">
        <v>522</v>
      </c>
      <c r="N7" s="251"/>
      <c r="O7" s="34"/>
    </row>
    <row r="8" spans="1:17" ht="14.25" customHeight="1" x14ac:dyDescent="0.2">
      <c r="A8" s="35">
        <v>10</v>
      </c>
      <c r="B8" s="36" t="s">
        <v>523</v>
      </c>
      <c r="C8" s="38"/>
      <c r="D8" s="38"/>
      <c r="E8" s="38"/>
      <c r="F8" s="38"/>
      <c r="G8" s="38"/>
      <c r="H8" s="38"/>
      <c r="I8" s="38"/>
      <c r="J8" s="28"/>
      <c r="K8" s="28"/>
      <c r="L8" s="28"/>
      <c r="M8" s="28"/>
      <c r="N8" s="28"/>
      <c r="O8" s="38"/>
    </row>
    <row r="9" spans="1:17" s="94" customFormat="1" ht="14.25" customHeight="1" x14ac:dyDescent="0.2">
      <c r="A9" s="89">
        <v>1100</v>
      </c>
      <c r="B9" s="90" t="s">
        <v>524</v>
      </c>
      <c r="C9" s="92"/>
      <c r="D9" s="92"/>
      <c r="E9" s="92"/>
      <c r="F9" s="92"/>
      <c r="G9" s="92"/>
      <c r="H9" s="92"/>
      <c r="I9" s="92"/>
      <c r="J9" s="93"/>
      <c r="K9" s="93"/>
      <c r="L9" s="93"/>
      <c r="M9" s="93"/>
      <c r="N9" s="93"/>
      <c r="O9" s="92"/>
    </row>
    <row r="10" spans="1:17" s="94" customFormat="1" ht="14.25" customHeight="1" x14ac:dyDescent="0.2">
      <c r="A10" s="89">
        <v>1101</v>
      </c>
      <c r="B10" s="42" t="s">
        <v>525</v>
      </c>
      <c r="C10" s="92">
        <v>151216</v>
      </c>
      <c r="D10" s="92">
        <v>140148</v>
      </c>
      <c r="E10" s="250">
        <v>23980</v>
      </c>
      <c r="F10" s="38" t="s">
        <v>526</v>
      </c>
      <c r="G10" s="241">
        <v>145000</v>
      </c>
      <c r="H10" s="38" t="s">
        <v>527</v>
      </c>
      <c r="I10" s="38"/>
      <c r="J10" s="92">
        <v>157264.64000000001</v>
      </c>
      <c r="K10" s="92"/>
      <c r="L10" s="92">
        <v>10330</v>
      </c>
      <c r="M10" s="92"/>
      <c r="N10" s="92"/>
      <c r="O10" s="92">
        <v>163555.22</v>
      </c>
      <c r="P10" s="182">
        <v>1</v>
      </c>
      <c r="Q10" s="176" t="s">
        <v>528</v>
      </c>
    </row>
    <row r="11" spans="1:17" s="31" customFormat="1" ht="24" x14ac:dyDescent="0.2">
      <c r="A11" s="39">
        <v>1131</v>
      </c>
      <c r="B11" s="40" t="s">
        <v>529</v>
      </c>
      <c r="C11" s="38">
        <v>0</v>
      </c>
      <c r="D11" s="38"/>
      <c r="E11" s="38">
        <v>0</v>
      </c>
      <c r="F11" s="38"/>
      <c r="G11" s="241"/>
      <c r="H11" s="38"/>
      <c r="I11" s="38"/>
      <c r="J11" s="38"/>
      <c r="K11" s="38"/>
      <c r="L11" s="38"/>
      <c r="M11" s="38"/>
      <c r="N11" s="38"/>
      <c r="O11" s="38"/>
      <c r="P11" s="184">
        <v>2</v>
      </c>
      <c r="Q11" s="176" t="s">
        <v>530</v>
      </c>
    </row>
    <row r="12" spans="1:17" s="31" customFormat="1" ht="24" x14ac:dyDescent="0.2">
      <c r="A12" s="39"/>
      <c r="B12" s="40" t="s">
        <v>531</v>
      </c>
      <c r="C12" s="38">
        <v>0</v>
      </c>
      <c r="D12" s="38"/>
      <c r="E12" s="250">
        <v>0</v>
      </c>
      <c r="F12" s="38"/>
      <c r="G12" s="241"/>
      <c r="H12" s="38"/>
      <c r="I12" s="38"/>
      <c r="J12" s="38"/>
      <c r="K12" s="38"/>
      <c r="L12" s="38"/>
      <c r="M12" s="38"/>
      <c r="N12" s="38"/>
      <c r="O12" s="38"/>
      <c r="P12" s="184">
        <v>3</v>
      </c>
      <c r="Q12" s="176" t="s">
        <v>532</v>
      </c>
    </row>
    <row r="13" spans="1:17" s="31" customFormat="1" ht="24" x14ac:dyDescent="0.2">
      <c r="A13" s="39">
        <v>1101</v>
      </c>
      <c r="B13" s="40" t="s">
        <v>533</v>
      </c>
      <c r="C13" s="38">
        <v>0</v>
      </c>
      <c r="D13" s="38"/>
      <c r="E13" s="38">
        <v>0</v>
      </c>
      <c r="F13" s="38" t="s">
        <v>534</v>
      </c>
      <c r="G13" s="241"/>
      <c r="H13" s="38" t="s">
        <v>535</v>
      </c>
      <c r="I13" s="38"/>
      <c r="J13" s="38"/>
      <c r="K13" s="38"/>
      <c r="L13" s="38"/>
      <c r="M13" s="38"/>
      <c r="N13" s="38"/>
      <c r="O13" s="38"/>
      <c r="P13" s="184">
        <v>4</v>
      </c>
      <c r="Q13" s="176" t="s">
        <v>536</v>
      </c>
    </row>
    <row r="14" spans="1:17" s="31" customFormat="1" ht="27" customHeight="1" x14ac:dyDescent="0.2">
      <c r="A14" s="39">
        <v>1102</v>
      </c>
      <c r="B14" s="40" t="s">
        <v>537</v>
      </c>
      <c r="C14" s="38">
        <v>0</v>
      </c>
      <c r="D14" s="38"/>
      <c r="E14" s="38">
        <v>0</v>
      </c>
      <c r="F14" s="38" t="s">
        <v>538</v>
      </c>
      <c r="G14" s="241"/>
      <c r="H14" s="38" t="s">
        <v>539</v>
      </c>
      <c r="I14" s="38"/>
      <c r="J14" s="38"/>
      <c r="K14" s="38"/>
      <c r="L14" s="38"/>
      <c r="M14" s="38"/>
      <c r="N14" s="38"/>
      <c r="O14" s="38"/>
      <c r="P14" s="184">
        <v>5</v>
      </c>
      <c r="Q14" s="186" t="s">
        <v>540</v>
      </c>
    </row>
    <row r="15" spans="1:17" s="31" customFormat="1" ht="28.5" customHeight="1" x14ac:dyDescent="0.2">
      <c r="A15" s="39">
        <v>1103</v>
      </c>
      <c r="B15" s="40" t="s">
        <v>541</v>
      </c>
      <c r="C15" s="38">
        <v>0</v>
      </c>
      <c r="D15" s="38"/>
      <c r="E15" s="38">
        <v>0</v>
      </c>
      <c r="F15" s="38" t="s">
        <v>542</v>
      </c>
      <c r="G15" s="241"/>
      <c r="H15" s="38" t="s">
        <v>543</v>
      </c>
      <c r="I15" s="38"/>
      <c r="J15" s="38"/>
      <c r="K15" s="38"/>
      <c r="L15" s="38"/>
      <c r="M15" s="38"/>
      <c r="N15" s="38"/>
      <c r="O15" s="38"/>
      <c r="P15" s="184">
        <v>6</v>
      </c>
      <c r="Q15" s="186" t="s">
        <v>544</v>
      </c>
    </row>
    <row r="16" spans="1:17" s="31" customFormat="1" ht="14.25" customHeight="1" x14ac:dyDescent="0.2">
      <c r="A16" s="49">
        <v>1199</v>
      </c>
      <c r="B16" s="50" t="s">
        <v>545</v>
      </c>
      <c r="C16" s="53">
        <f>SUM(C9:C10)</f>
        <v>151216</v>
      </c>
      <c r="D16" s="53">
        <f>SUM(D9:D10)</f>
        <v>140148</v>
      </c>
      <c r="E16" s="53">
        <f>SUM(E9:E10)</f>
        <v>23980</v>
      </c>
      <c r="F16" s="53"/>
      <c r="G16" s="243">
        <f t="shared" ref="G16" si="0">SUM(G9:G10)</f>
        <v>145000</v>
      </c>
      <c r="H16" s="53"/>
      <c r="I16" s="53"/>
      <c r="J16" s="53">
        <f>SUM(J9:J10)</f>
        <v>157264.64000000001</v>
      </c>
      <c r="K16" s="53">
        <f t="shared" ref="K16:L16" si="1">SUM(K9:K10)</f>
        <v>0</v>
      </c>
      <c r="L16" s="53">
        <f t="shared" si="1"/>
        <v>10330</v>
      </c>
      <c r="M16" s="53"/>
      <c r="N16" s="53"/>
      <c r="O16" s="53">
        <f>SUM(O9:O10)</f>
        <v>163555.22</v>
      </c>
    </row>
    <row r="17" spans="1:17" ht="14.25" customHeight="1" x14ac:dyDescent="0.2">
      <c r="A17" s="35"/>
      <c r="B17" s="36"/>
      <c r="C17" s="38"/>
      <c r="D17" s="38"/>
      <c r="E17" s="38"/>
      <c r="F17" s="38"/>
      <c r="G17" s="241"/>
      <c r="H17" s="38"/>
      <c r="I17" s="38"/>
      <c r="J17" s="28"/>
      <c r="K17" s="28"/>
      <c r="L17" s="28"/>
      <c r="M17" s="28"/>
      <c r="N17" s="28"/>
      <c r="O17" s="38"/>
    </row>
    <row r="18" spans="1:17" x14ac:dyDescent="0.2">
      <c r="A18" s="39">
        <v>1200</v>
      </c>
      <c r="B18" s="40" t="s">
        <v>546</v>
      </c>
      <c r="C18" s="38"/>
      <c r="D18" s="38"/>
      <c r="E18" s="38"/>
      <c r="F18" s="38"/>
      <c r="G18" s="241"/>
      <c r="H18" s="38"/>
      <c r="I18" s="38"/>
      <c r="J18" s="38"/>
      <c r="K18" s="38"/>
      <c r="L18" s="38"/>
      <c r="M18" s="38"/>
      <c r="N18" s="38"/>
      <c r="O18" s="38"/>
    </row>
    <row r="19" spans="1:17" x14ac:dyDescent="0.2">
      <c r="A19" s="39">
        <v>1201</v>
      </c>
      <c r="B19" s="42" t="s">
        <v>547</v>
      </c>
      <c r="C19" s="38">
        <v>100000</v>
      </c>
      <c r="D19" s="38"/>
      <c r="E19" s="38">
        <v>0</v>
      </c>
      <c r="F19" s="38" t="s">
        <v>548</v>
      </c>
      <c r="G19" s="241"/>
      <c r="H19" s="38"/>
      <c r="I19" s="38"/>
      <c r="J19" s="38">
        <v>100000</v>
      </c>
      <c r="K19" s="38"/>
      <c r="L19" s="38"/>
      <c r="M19" s="38"/>
      <c r="N19" s="38"/>
      <c r="O19" s="38">
        <v>100000</v>
      </c>
    </row>
    <row r="20" spans="1:17" x14ac:dyDescent="0.2">
      <c r="A20" s="39">
        <v>1202</v>
      </c>
      <c r="B20" s="43" t="s">
        <v>549</v>
      </c>
      <c r="C20" s="38">
        <v>100000</v>
      </c>
      <c r="D20" s="38"/>
      <c r="E20" s="250">
        <v>0</v>
      </c>
      <c r="F20" s="38" t="s">
        <v>550</v>
      </c>
      <c r="G20" s="241"/>
      <c r="H20" s="38"/>
      <c r="I20" s="38"/>
      <c r="J20" s="38">
        <v>100000</v>
      </c>
      <c r="K20" s="38"/>
      <c r="L20" s="38"/>
      <c r="M20" s="38"/>
      <c r="N20" s="38"/>
      <c r="O20" s="38">
        <v>100000</v>
      </c>
    </row>
    <row r="21" spans="1:17" x14ac:dyDescent="0.2">
      <c r="A21" s="39">
        <v>1203</v>
      </c>
      <c r="B21" s="43" t="s">
        <v>551</v>
      </c>
      <c r="C21" s="38">
        <v>60000</v>
      </c>
      <c r="D21" s="38"/>
      <c r="E21" s="38">
        <v>0</v>
      </c>
      <c r="F21" s="38"/>
      <c r="G21" s="241"/>
      <c r="H21" s="38"/>
      <c r="I21" s="38"/>
      <c r="J21" s="38">
        <v>60000</v>
      </c>
      <c r="K21" s="38"/>
      <c r="L21" s="38"/>
      <c r="M21" s="38"/>
      <c r="N21" s="38"/>
      <c r="O21" s="38">
        <v>60000</v>
      </c>
    </row>
    <row r="22" spans="1:17" x14ac:dyDescent="0.2">
      <c r="A22" s="39">
        <v>1204</v>
      </c>
      <c r="B22" s="43" t="s">
        <v>552</v>
      </c>
      <c r="C22" s="38">
        <v>50000</v>
      </c>
      <c r="D22" s="38"/>
      <c r="E22" s="38">
        <v>0</v>
      </c>
      <c r="F22" s="38"/>
      <c r="G22" s="241"/>
      <c r="H22" s="38"/>
      <c r="I22" s="38"/>
      <c r="J22" s="38">
        <v>50000</v>
      </c>
      <c r="K22" s="38"/>
      <c r="L22" s="38"/>
      <c r="M22" s="38"/>
      <c r="N22" s="38"/>
      <c r="O22" s="38">
        <v>50000</v>
      </c>
    </row>
    <row r="23" spans="1:17" x14ac:dyDescent="0.2">
      <c r="A23" s="39">
        <v>1205</v>
      </c>
      <c r="B23" s="43" t="s">
        <v>553</v>
      </c>
      <c r="C23" s="38">
        <v>50000</v>
      </c>
      <c r="D23" s="38"/>
      <c r="E23" s="38">
        <v>0</v>
      </c>
      <c r="F23" s="38"/>
      <c r="G23" s="241"/>
      <c r="H23" s="38"/>
      <c r="I23" s="38"/>
      <c r="J23" s="38">
        <v>50000</v>
      </c>
      <c r="K23" s="38"/>
      <c r="L23" s="38"/>
      <c r="M23" s="38"/>
      <c r="N23" s="38"/>
      <c r="O23" s="38">
        <v>50000</v>
      </c>
    </row>
    <row r="24" spans="1:17" x14ac:dyDescent="0.2">
      <c r="A24" s="39">
        <v>1220</v>
      </c>
      <c r="B24" s="40" t="s">
        <v>554</v>
      </c>
      <c r="C24" s="38">
        <v>0</v>
      </c>
      <c r="D24" s="38"/>
      <c r="E24" s="38">
        <v>0</v>
      </c>
      <c r="F24" s="38"/>
      <c r="G24" s="241"/>
      <c r="H24" s="38"/>
      <c r="I24" s="38"/>
      <c r="J24" s="38">
        <v>0</v>
      </c>
      <c r="K24" s="38"/>
      <c r="L24" s="38"/>
      <c r="M24" s="38"/>
      <c r="N24" s="38"/>
      <c r="O24" s="38">
        <v>0</v>
      </c>
    </row>
    <row r="25" spans="1:17" x14ac:dyDescent="0.2">
      <c r="A25" s="39">
        <v>1201</v>
      </c>
      <c r="B25" s="40" t="s">
        <v>555</v>
      </c>
      <c r="C25" s="38">
        <v>0</v>
      </c>
      <c r="D25" s="38">
        <v>20967</v>
      </c>
      <c r="E25" s="250">
        <v>20967</v>
      </c>
      <c r="F25" s="38" t="s">
        <v>556</v>
      </c>
      <c r="G25" s="241"/>
      <c r="H25" s="38"/>
      <c r="I25" s="38"/>
      <c r="J25" s="38"/>
      <c r="K25" s="38"/>
      <c r="L25" s="38"/>
      <c r="M25" s="38"/>
      <c r="N25" s="38"/>
      <c r="O25" s="38"/>
      <c r="Q25" s="176" t="s">
        <v>557</v>
      </c>
    </row>
    <row r="26" spans="1:17" x14ac:dyDescent="0.2">
      <c r="A26" s="39">
        <v>1202</v>
      </c>
      <c r="B26" s="40" t="s">
        <v>558</v>
      </c>
      <c r="C26" s="38">
        <v>0</v>
      </c>
      <c r="D26" s="38">
        <v>30000</v>
      </c>
      <c r="E26" s="250">
        <v>20000</v>
      </c>
      <c r="F26" s="38" t="s">
        <v>559</v>
      </c>
      <c r="G26" s="241"/>
      <c r="H26" s="38"/>
      <c r="I26" s="38"/>
      <c r="J26" s="38"/>
      <c r="K26" s="38"/>
      <c r="L26" s="38"/>
      <c r="M26" s="38"/>
      <c r="N26" s="38"/>
      <c r="O26" s="38"/>
      <c r="Q26" s="176" t="s">
        <v>560</v>
      </c>
    </row>
    <row r="27" spans="1:17" x14ac:dyDescent="0.2">
      <c r="A27" s="39">
        <v>1204</v>
      </c>
      <c r="B27" s="40" t="s">
        <v>561</v>
      </c>
      <c r="C27" s="38">
        <v>0</v>
      </c>
      <c r="D27" s="38">
        <v>6045</v>
      </c>
      <c r="E27" s="38">
        <v>0</v>
      </c>
      <c r="F27" s="38"/>
      <c r="G27" s="241"/>
      <c r="H27" s="38"/>
      <c r="I27" s="38"/>
      <c r="J27" s="38"/>
      <c r="K27" s="38"/>
      <c r="L27" s="38"/>
      <c r="M27" s="38"/>
      <c r="N27" s="38"/>
      <c r="O27" s="38"/>
      <c r="Q27" s="176"/>
    </row>
    <row r="28" spans="1:17" x14ac:dyDescent="0.2">
      <c r="A28" s="39">
        <v>1205</v>
      </c>
      <c r="B28" s="40" t="s">
        <v>562</v>
      </c>
      <c r="C28" s="38">
        <v>0</v>
      </c>
      <c r="D28" s="38">
        <v>13274</v>
      </c>
      <c r="E28" s="250">
        <v>0</v>
      </c>
      <c r="F28" s="38" t="s">
        <v>563</v>
      </c>
      <c r="G28" s="241">
        <v>15000</v>
      </c>
      <c r="H28" s="38" t="s">
        <v>564</v>
      </c>
      <c r="I28" s="38"/>
      <c r="J28" s="38"/>
      <c r="K28" s="38"/>
      <c r="L28" s="38">
        <v>13274</v>
      </c>
      <c r="M28" s="38"/>
      <c r="N28" s="38"/>
      <c r="O28" s="38"/>
      <c r="Q28" s="176"/>
    </row>
    <row r="29" spans="1:17" ht="24" x14ac:dyDescent="0.2">
      <c r="A29" s="39">
        <v>1206</v>
      </c>
      <c r="B29" s="40" t="s">
        <v>565</v>
      </c>
      <c r="C29" s="38">
        <v>0</v>
      </c>
      <c r="D29" s="38">
        <v>0</v>
      </c>
      <c r="E29" s="250">
        <v>0</v>
      </c>
      <c r="F29" s="38" t="s">
        <v>566</v>
      </c>
      <c r="G29" s="241">
        <v>0</v>
      </c>
      <c r="H29" s="38"/>
      <c r="I29" s="38"/>
      <c r="J29" s="38">
        <v>0</v>
      </c>
      <c r="K29" s="38">
        <v>113000</v>
      </c>
      <c r="L29" s="38"/>
      <c r="M29" s="38" t="s">
        <v>567</v>
      </c>
      <c r="N29" s="38"/>
      <c r="O29" s="38"/>
      <c r="Q29" s="176"/>
    </row>
    <row r="30" spans="1:17" x14ac:dyDescent="0.2">
      <c r="A30" s="49">
        <v>1299</v>
      </c>
      <c r="B30" s="44" t="s">
        <v>568</v>
      </c>
      <c r="C30" s="46">
        <f>SUM(C19:C29)</f>
        <v>360000</v>
      </c>
      <c r="D30" s="46">
        <f>SUM(D19:D29)</f>
        <v>70286</v>
      </c>
      <c r="E30" s="46">
        <f>SUM(E19:E29)</f>
        <v>40967</v>
      </c>
      <c r="F30" s="46"/>
      <c r="G30" s="240">
        <f t="shared" ref="G30" si="2">SUM(G19:G28)</f>
        <v>15000</v>
      </c>
      <c r="H30" s="46"/>
      <c r="I30" s="46"/>
      <c r="J30" s="46">
        <f>SUM(J19:J29)</f>
        <v>360000</v>
      </c>
      <c r="K30" s="46">
        <f t="shared" ref="K30:L30" si="3">SUM(K19:K29)</f>
        <v>113000</v>
      </c>
      <c r="L30" s="46">
        <f t="shared" si="3"/>
        <v>13274</v>
      </c>
      <c r="M30" s="46"/>
      <c r="N30" s="46"/>
      <c r="O30" s="46">
        <f>SUM(O19:O24)</f>
        <v>360000</v>
      </c>
    </row>
    <row r="31" spans="1:17" x14ac:dyDescent="0.2">
      <c r="A31" s="39"/>
      <c r="B31" s="40"/>
      <c r="C31" s="38"/>
      <c r="D31" s="38"/>
      <c r="E31" s="38"/>
      <c r="F31" s="38"/>
      <c r="G31" s="241"/>
      <c r="H31" s="38"/>
      <c r="I31" s="38"/>
      <c r="J31" s="38"/>
      <c r="K31" s="38"/>
      <c r="L31" s="38"/>
      <c r="M31" s="38"/>
      <c r="N31" s="38"/>
      <c r="O31" s="38"/>
    </row>
    <row r="32" spans="1:17" ht="12.75" customHeight="1" x14ac:dyDescent="0.2">
      <c r="A32" s="39">
        <v>1300</v>
      </c>
      <c r="B32" s="42" t="s">
        <v>569</v>
      </c>
      <c r="C32" s="38"/>
      <c r="D32" s="38"/>
      <c r="E32" s="38"/>
      <c r="F32" s="38"/>
      <c r="G32" s="241"/>
      <c r="H32" s="38"/>
      <c r="I32" s="38"/>
      <c r="J32" s="38"/>
      <c r="K32" s="38"/>
      <c r="L32" s="38"/>
      <c r="M32" s="38"/>
      <c r="N32" s="38"/>
      <c r="O32" s="38"/>
    </row>
    <row r="33" spans="1:17" x14ac:dyDescent="0.2">
      <c r="A33" s="39">
        <v>1301</v>
      </c>
      <c r="B33" s="28" t="s">
        <v>570</v>
      </c>
      <c r="C33" s="38">
        <v>143728</v>
      </c>
      <c r="D33" s="38">
        <v>182107</v>
      </c>
      <c r="E33" s="250">
        <v>23550</v>
      </c>
      <c r="F33" s="38" t="s">
        <v>571</v>
      </c>
      <c r="G33" s="241"/>
      <c r="H33" s="38"/>
      <c r="I33" s="38"/>
      <c r="J33" s="38">
        <v>149477.12</v>
      </c>
      <c r="K33" s="38"/>
      <c r="L33" s="38">
        <v>43560</v>
      </c>
      <c r="M33" s="38"/>
      <c r="N33" s="38"/>
      <c r="O33" s="38">
        <v>155456.20000000001</v>
      </c>
      <c r="Q33" s="176" t="s">
        <v>572</v>
      </c>
    </row>
    <row r="34" spans="1:17" ht="24" x14ac:dyDescent="0.2">
      <c r="A34" s="39">
        <v>1301</v>
      </c>
      <c r="B34" s="258" t="s">
        <v>573</v>
      </c>
      <c r="C34" s="38">
        <v>0</v>
      </c>
      <c r="D34" s="38"/>
      <c r="E34" s="38"/>
      <c r="F34" s="38"/>
      <c r="G34" s="241"/>
      <c r="H34" s="38"/>
      <c r="I34" s="38"/>
      <c r="J34" s="38"/>
      <c r="K34" s="38"/>
      <c r="L34" s="38"/>
      <c r="M34" s="38"/>
      <c r="N34" s="38"/>
      <c r="O34" s="38"/>
      <c r="P34">
        <v>0.5</v>
      </c>
      <c r="Q34" s="176" t="s">
        <v>574</v>
      </c>
    </row>
    <row r="35" spans="1:17" ht="24" x14ac:dyDescent="0.2">
      <c r="A35" s="39">
        <v>1301</v>
      </c>
      <c r="B35" s="258" t="s">
        <v>575</v>
      </c>
      <c r="C35" s="38">
        <v>0</v>
      </c>
      <c r="D35" s="38"/>
      <c r="E35" s="38"/>
      <c r="F35" s="38" t="s">
        <v>576</v>
      </c>
      <c r="G35" s="241"/>
      <c r="H35" s="38"/>
      <c r="I35" s="38"/>
      <c r="J35" s="38"/>
      <c r="K35" s="38"/>
      <c r="L35" s="38"/>
      <c r="M35" s="38"/>
      <c r="N35" s="38"/>
      <c r="O35" s="38"/>
      <c r="P35">
        <v>7</v>
      </c>
      <c r="Q35" s="176" t="s">
        <v>577</v>
      </c>
    </row>
    <row r="36" spans="1:17" ht="24" x14ac:dyDescent="0.2">
      <c r="A36" s="39">
        <v>1302</v>
      </c>
      <c r="B36" s="258" t="s">
        <v>578</v>
      </c>
      <c r="C36" s="38">
        <v>0</v>
      </c>
      <c r="D36" s="38"/>
      <c r="E36" s="38"/>
      <c r="F36" s="38" t="s">
        <v>579</v>
      </c>
      <c r="G36" s="241"/>
      <c r="H36" s="38"/>
      <c r="I36" s="38"/>
      <c r="J36" s="38"/>
      <c r="K36" s="38"/>
      <c r="L36" s="38"/>
      <c r="M36" s="38"/>
      <c r="N36" s="38"/>
      <c r="O36" s="38"/>
      <c r="P36">
        <v>8</v>
      </c>
      <c r="Q36" s="176" t="s">
        <v>580</v>
      </c>
    </row>
    <row r="37" spans="1:17" ht="11.25" customHeight="1" x14ac:dyDescent="0.2">
      <c r="A37" s="39">
        <v>1320</v>
      </c>
      <c r="B37" s="47" t="s">
        <v>581</v>
      </c>
      <c r="C37" s="38">
        <v>143728</v>
      </c>
      <c r="D37" s="38"/>
      <c r="E37" s="38"/>
      <c r="F37" s="38"/>
      <c r="G37" s="241"/>
      <c r="H37" s="38"/>
      <c r="I37" s="38"/>
      <c r="J37" s="38">
        <v>149477.12</v>
      </c>
      <c r="K37" s="38"/>
      <c r="L37" s="38"/>
      <c r="M37" s="38"/>
      <c r="N37" s="38"/>
      <c r="O37" s="38">
        <v>155456.20000000001</v>
      </c>
    </row>
    <row r="38" spans="1:17" x14ac:dyDescent="0.2">
      <c r="A38" s="39">
        <v>1399</v>
      </c>
      <c r="B38" s="36" t="s">
        <v>582</v>
      </c>
      <c r="C38" s="46">
        <f>SUM(C33:C37)</f>
        <v>287456</v>
      </c>
      <c r="D38" s="46">
        <f>SUM(D33:D37)</f>
        <v>182107</v>
      </c>
      <c r="E38" s="46">
        <f>SUM(E33:E37)</f>
        <v>23550</v>
      </c>
      <c r="F38" s="46"/>
      <c r="G38" s="240">
        <f t="shared" ref="G38" si="4">SUM(G33:G37)</f>
        <v>0</v>
      </c>
      <c r="H38" s="46"/>
      <c r="I38" s="46"/>
      <c r="J38" s="46">
        <f>SUM(J33:J37)</f>
        <v>298954.23999999999</v>
      </c>
      <c r="K38" s="46">
        <f t="shared" ref="K38:L38" si="5">SUM(K33:K37)</f>
        <v>0</v>
      </c>
      <c r="L38" s="46">
        <f t="shared" si="5"/>
        <v>43560</v>
      </c>
      <c r="M38" s="46"/>
      <c r="N38" s="46"/>
      <c r="O38" s="46">
        <f>SUM(O33:O37)</f>
        <v>310912.40000000002</v>
      </c>
    </row>
    <row r="39" spans="1:17" x14ac:dyDescent="0.2">
      <c r="A39" s="39"/>
      <c r="B39" s="36"/>
      <c r="C39" s="38"/>
      <c r="D39" s="38"/>
      <c r="E39" s="38"/>
      <c r="F39" s="38"/>
      <c r="G39" s="241"/>
      <c r="H39" s="38"/>
      <c r="I39" s="38"/>
      <c r="J39" s="38"/>
      <c r="K39" s="38"/>
      <c r="L39" s="38"/>
      <c r="M39" s="38"/>
      <c r="N39" s="38"/>
      <c r="O39" s="38"/>
    </row>
    <row r="40" spans="1:17" x14ac:dyDescent="0.2">
      <c r="A40" s="39">
        <v>1600</v>
      </c>
      <c r="B40" s="42" t="s">
        <v>583</v>
      </c>
      <c r="C40" s="38"/>
      <c r="D40" s="38"/>
      <c r="E40" s="38"/>
      <c r="F40" s="38"/>
      <c r="G40" s="241"/>
      <c r="H40" s="38"/>
      <c r="I40" s="38"/>
      <c r="J40" s="38"/>
      <c r="K40" s="38"/>
      <c r="L40" s="38"/>
      <c r="M40" s="38"/>
      <c r="N40" s="38"/>
      <c r="O40" s="38"/>
    </row>
    <row r="41" spans="1:17" x14ac:dyDescent="0.2">
      <c r="A41" s="39">
        <v>1601</v>
      </c>
      <c r="B41" s="43" t="s">
        <v>584</v>
      </c>
      <c r="C41" s="38">
        <v>150000</v>
      </c>
      <c r="D41" s="38">
        <v>25276</v>
      </c>
      <c r="E41" s="250">
        <v>18653</v>
      </c>
      <c r="F41" s="38" t="s">
        <v>585</v>
      </c>
      <c r="G41" s="241"/>
      <c r="H41" s="38"/>
      <c r="I41" s="38"/>
      <c r="J41" s="38">
        <v>150000</v>
      </c>
      <c r="K41" s="38"/>
      <c r="L41" s="38">
        <v>-4717</v>
      </c>
      <c r="M41" s="38"/>
      <c r="N41" s="38"/>
      <c r="O41" s="38">
        <v>150000</v>
      </c>
    </row>
    <row r="42" spans="1:17" x14ac:dyDescent="0.2">
      <c r="A42" s="39">
        <v>1602</v>
      </c>
      <c r="B42" s="43" t="s">
        <v>586</v>
      </c>
      <c r="C42" s="38">
        <v>50000</v>
      </c>
      <c r="D42" s="38">
        <v>47592</v>
      </c>
      <c r="E42" s="250">
        <v>0</v>
      </c>
      <c r="F42" s="38" t="s">
        <v>587</v>
      </c>
      <c r="G42" s="241"/>
      <c r="H42" s="38"/>
      <c r="I42" s="38"/>
      <c r="J42" s="38">
        <v>50000</v>
      </c>
      <c r="K42" s="38"/>
      <c r="L42" s="38">
        <v>0</v>
      </c>
      <c r="M42" s="38"/>
      <c r="N42" s="38"/>
      <c r="O42" s="38">
        <v>50000</v>
      </c>
    </row>
    <row r="43" spans="1:17" x14ac:dyDescent="0.2">
      <c r="A43" s="39">
        <v>1602</v>
      </c>
      <c r="B43" s="231" t="s">
        <v>588</v>
      </c>
      <c r="C43" s="38">
        <v>0</v>
      </c>
      <c r="D43" s="38">
        <v>0</v>
      </c>
      <c r="E43" s="250">
        <v>0</v>
      </c>
      <c r="F43" s="38" t="s">
        <v>589</v>
      </c>
      <c r="G43" s="241">
        <v>15000</v>
      </c>
      <c r="H43" s="38" t="s">
        <v>590</v>
      </c>
      <c r="I43" s="38"/>
      <c r="J43" s="38"/>
      <c r="K43" s="38"/>
      <c r="L43" s="38">
        <v>0</v>
      </c>
      <c r="M43" s="38"/>
      <c r="N43" s="38"/>
      <c r="O43" s="38"/>
    </row>
    <row r="44" spans="1:17" x14ac:dyDescent="0.2">
      <c r="A44" s="39">
        <v>1603</v>
      </c>
      <c r="B44" s="43" t="s">
        <v>591</v>
      </c>
      <c r="C44" s="38">
        <v>50000</v>
      </c>
      <c r="D44" s="38">
        <v>68702</v>
      </c>
      <c r="E44" s="250">
        <v>67170</v>
      </c>
      <c r="F44" s="38" t="s">
        <v>592</v>
      </c>
      <c r="G44" s="241"/>
      <c r="H44" s="38"/>
      <c r="I44" s="38"/>
      <c r="J44" s="38">
        <v>50000</v>
      </c>
      <c r="K44" s="38">
        <v>51554.8</v>
      </c>
      <c r="L44" s="38">
        <v>19617</v>
      </c>
      <c r="M44" s="38" t="s">
        <v>593</v>
      </c>
      <c r="N44" s="38"/>
      <c r="O44" s="38">
        <v>50000</v>
      </c>
    </row>
    <row r="45" spans="1:17" x14ac:dyDescent="0.2">
      <c r="A45" s="39">
        <v>1604</v>
      </c>
      <c r="B45" s="231" t="s">
        <v>594</v>
      </c>
      <c r="C45" s="38">
        <v>30000</v>
      </c>
      <c r="D45" s="38">
        <v>26729</v>
      </c>
      <c r="E45" s="250">
        <v>12782</v>
      </c>
      <c r="F45" s="38" t="s">
        <v>595</v>
      </c>
      <c r="G45" s="241"/>
      <c r="H45" s="38"/>
      <c r="I45" s="38"/>
      <c r="J45" s="38">
        <v>30000</v>
      </c>
      <c r="K45" s="38"/>
      <c r="L45" s="38">
        <v>13140</v>
      </c>
      <c r="M45" s="38"/>
      <c r="N45" s="38"/>
      <c r="O45" s="38">
        <v>30000</v>
      </c>
    </row>
    <row r="46" spans="1:17" ht="24" x14ac:dyDescent="0.2">
      <c r="A46" s="39">
        <v>1605</v>
      </c>
      <c r="B46" s="256" t="s">
        <v>596</v>
      </c>
      <c r="C46" s="38">
        <v>50000</v>
      </c>
      <c r="D46" s="38">
        <v>23062</v>
      </c>
      <c r="E46" s="250">
        <v>9098</v>
      </c>
      <c r="F46" s="38" t="s">
        <v>597</v>
      </c>
      <c r="G46" s="241"/>
      <c r="H46" s="38"/>
      <c r="I46" s="38"/>
      <c r="J46" s="38">
        <v>50000</v>
      </c>
      <c r="K46" s="38"/>
      <c r="L46" s="38">
        <v>4529</v>
      </c>
      <c r="M46" s="38"/>
      <c r="N46" s="38"/>
      <c r="O46" s="38">
        <v>50000</v>
      </c>
    </row>
    <row r="47" spans="1:17" x14ac:dyDescent="0.2">
      <c r="A47" s="39">
        <v>1606</v>
      </c>
      <c r="B47" s="252" t="s">
        <v>598</v>
      </c>
      <c r="C47" s="38">
        <v>30000</v>
      </c>
      <c r="D47" s="38">
        <v>56626</v>
      </c>
      <c r="E47" s="250">
        <v>1670</v>
      </c>
      <c r="F47" s="38" t="s">
        <v>599</v>
      </c>
      <c r="G47" s="241"/>
      <c r="H47" s="38"/>
      <c r="I47" s="38"/>
      <c r="J47" s="38">
        <v>30000</v>
      </c>
      <c r="K47" s="38"/>
      <c r="L47" s="38">
        <v>0</v>
      </c>
      <c r="M47" s="38"/>
      <c r="N47" s="38"/>
      <c r="O47" s="38">
        <v>30000</v>
      </c>
    </row>
    <row r="48" spans="1:17" x14ac:dyDescent="0.2">
      <c r="A48" s="39">
        <v>1606</v>
      </c>
      <c r="B48" s="231" t="s">
        <v>600</v>
      </c>
      <c r="C48" s="38">
        <v>0</v>
      </c>
      <c r="D48" s="38">
        <v>0</v>
      </c>
      <c r="E48" s="250">
        <v>0</v>
      </c>
      <c r="F48" s="38" t="s">
        <v>601</v>
      </c>
      <c r="G48" s="241">
        <v>35000</v>
      </c>
      <c r="H48" s="38" t="s">
        <v>602</v>
      </c>
      <c r="I48" s="38"/>
      <c r="J48" s="38"/>
      <c r="K48" s="38"/>
      <c r="L48" s="38">
        <v>40941</v>
      </c>
      <c r="M48" s="38"/>
      <c r="N48" s="38"/>
      <c r="O48" s="38"/>
    </row>
    <row r="49" spans="1:15" x14ac:dyDescent="0.2">
      <c r="A49" s="39">
        <v>1607</v>
      </c>
      <c r="B49" s="48" t="s">
        <v>603</v>
      </c>
      <c r="C49" s="38">
        <v>30000</v>
      </c>
      <c r="D49" s="38">
        <v>0</v>
      </c>
      <c r="E49" s="38"/>
      <c r="F49" s="38" t="s">
        <v>604</v>
      </c>
      <c r="G49" s="241"/>
      <c r="H49" s="38"/>
      <c r="I49" s="38"/>
      <c r="J49" s="38">
        <v>30000</v>
      </c>
      <c r="K49" s="38"/>
      <c r="L49" s="38"/>
      <c r="M49" s="38"/>
      <c r="N49" s="38"/>
      <c r="O49" s="38">
        <v>30000</v>
      </c>
    </row>
    <row r="50" spans="1:15" ht="24" x14ac:dyDescent="0.2">
      <c r="A50" s="39">
        <v>1608</v>
      </c>
      <c r="B50" s="257" t="s">
        <v>605</v>
      </c>
      <c r="C50" s="38">
        <v>0</v>
      </c>
      <c r="D50" s="38">
        <f>1191+3317</f>
        <v>4508</v>
      </c>
      <c r="E50" s="38">
        <v>0</v>
      </c>
      <c r="F50" s="38" t="s">
        <v>606</v>
      </c>
      <c r="G50" s="241"/>
      <c r="H50" s="38"/>
      <c r="I50" s="38"/>
      <c r="J50" s="38"/>
      <c r="K50" s="38"/>
      <c r="L50" s="38">
        <f>1205+2546</f>
        <v>3751</v>
      </c>
      <c r="M50" s="38"/>
      <c r="N50" s="38"/>
      <c r="O50" s="38"/>
    </row>
    <row r="51" spans="1:15" x14ac:dyDescent="0.2">
      <c r="A51" s="39">
        <v>1609</v>
      </c>
      <c r="B51" s="249" t="s">
        <v>607</v>
      </c>
      <c r="C51" s="38">
        <v>0</v>
      </c>
      <c r="D51" s="38">
        <v>32507</v>
      </c>
      <c r="E51" s="250">
        <v>5257</v>
      </c>
      <c r="F51" s="38" t="s">
        <v>608</v>
      </c>
      <c r="G51" s="241">
        <v>36733</v>
      </c>
      <c r="H51" s="38" t="s">
        <v>609</v>
      </c>
      <c r="I51" s="38"/>
      <c r="J51" s="38"/>
      <c r="K51" s="38"/>
      <c r="L51" s="38">
        <v>22249</v>
      </c>
      <c r="M51" s="38"/>
      <c r="N51" s="38"/>
      <c r="O51" s="38"/>
    </row>
    <row r="52" spans="1:15" x14ac:dyDescent="0.2">
      <c r="A52" s="39">
        <v>1680</v>
      </c>
      <c r="B52" s="249" t="s">
        <v>610</v>
      </c>
      <c r="C52" s="38">
        <v>0</v>
      </c>
      <c r="D52" s="38">
        <v>-8825</v>
      </c>
      <c r="E52" s="250">
        <v>-8902</v>
      </c>
      <c r="F52" s="38" t="s">
        <v>611</v>
      </c>
      <c r="G52" s="241"/>
      <c r="H52" s="38"/>
      <c r="I52" s="38"/>
      <c r="J52" s="38"/>
      <c r="K52" s="38"/>
      <c r="L52" s="38">
        <v>1093</v>
      </c>
      <c r="M52" s="38"/>
      <c r="N52" s="38"/>
      <c r="O52" s="38"/>
    </row>
    <row r="53" spans="1:15" x14ac:dyDescent="0.2">
      <c r="A53" s="39">
        <v>1699</v>
      </c>
      <c r="B53" s="36" t="s">
        <v>612</v>
      </c>
      <c r="C53" s="46">
        <f>SUM(C41:C52)</f>
        <v>390000</v>
      </c>
      <c r="D53" s="46">
        <f>SUM(D41:D52)</f>
        <v>276177</v>
      </c>
      <c r="E53" s="46">
        <f>SUM(E41:E52)</f>
        <v>105728</v>
      </c>
      <c r="F53" s="46"/>
      <c r="G53" s="240">
        <f t="shared" ref="G53" si="6">SUM(G41:G52)</f>
        <v>86733</v>
      </c>
      <c r="H53" s="46"/>
      <c r="I53" s="46"/>
      <c r="J53" s="46">
        <f>SUM(J41:J49)</f>
        <v>390000</v>
      </c>
      <c r="K53" s="46">
        <f t="shared" ref="K53" si="7">SUM(K41:K49)</f>
        <v>51554.8</v>
      </c>
      <c r="L53" s="46">
        <f>SUM(L41:L52)</f>
        <v>100603</v>
      </c>
      <c r="M53" s="46"/>
      <c r="N53" s="46"/>
      <c r="O53" s="46">
        <f>SUM(O41:O49)</f>
        <v>390000</v>
      </c>
    </row>
    <row r="54" spans="1:15" x14ac:dyDescent="0.2">
      <c r="A54" s="39"/>
      <c r="B54" s="42"/>
      <c r="C54" s="38"/>
      <c r="D54" s="38"/>
      <c r="E54" s="38"/>
      <c r="F54" s="38"/>
      <c r="G54" s="241"/>
      <c r="H54" s="38"/>
      <c r="I54" s="38"/>
      <c r="J54" s="38"/>
      <c r="K54" s="38"/>
      <c r="L54" s="38"/>
      <c r="M54" s="38"/>
      <c r="N54" s="38"/>
      <c r="O54" s="38"/>
    </row>
    <row r="55" spans="1:15" s="31" customFormat="1" x14ac:dyDescent="0.2">
      <c r="A55" s="49">
        <v>10</v>
      </c>
      <c r="B55" s="50" t="s">
        <v>613</v>
      </c>
      <c r="C55" s="52">
        <f>C16+C30+C38+C53</f>
        <v>1188672</v>
      </c>
      <c r="D55" s="52">
        <f>D16+D30+D38+D53</f>
        <v>668718</v>
      </c>
      <c r="E55" s="52">
        <f>E16+E30+E38+E53</f>
        <v>194225</v>
      </c>
      <c r="F55" s="52"/>
      <c r="G55" s="244">
        <f t="shared" ref="G55" si="8">G16+G30+G38+G53</f>
        <v>246733</v>
      </c>
      <c r="H55" s="52"/>
      <c r="I55" s="52"/>
      <c r="J55" s="52">
        <f>J16+J30+J38+J53</f>
        <v>1206218.8799999999</v>
      </c>
      <c r="K55" s="52">
        <f t="shared" ref="K55:L55" si="9">K16+K30+K38+K53</f>
        <v>164554.79999999999</v>
      </c>
      <c r="L55" s="52">
        <f t="shared" si="9"/>
        <v>167767</v>
      </c>
      <c r="M55" s="52"/>
      <c r="N55" s="52"/>
      <c r="O55" s="52">
        <f>O16+O30+O38+O53</f>
        <v>1224467.6200000001</v>
      </c>
    </row>
    <row r="56" spans="1:15" x14ac:dyDescent="0.2">
      <c r="A56" s="39"/>
      <c r="B56" s="42"/>
      <c r="C56" s="38"/>
      <c r="D56" s="38"/>
      <c r="E56" s="38"/>
      <c r="F56" s="38"/>
      <c r="G56" s="241"/>
      <c r="H56" s="38"/>
      <c r="I56" s="38"/>
      <c r="J56" s="38"/>
      <c r="K56" s="38"/>
      <c r="L56" s="38"/>
      <c r="M56" s="38"/>
      <c r="N56" s="38"/>
      <c r="O56" s="38"/>
    </row>
    <row r="57" spans="1:15" s="31" customFormat="1" x14ac:dyDescent="0.2">
      <c r="A57" s="49">
        <v>20</v>
      </c>
      <c r="B57" s="50" t="s">
        <v>614</v>
      </c>
      <c r="C57" s="53"/>
      <c r="D57" s="53"/>
      <c r="E57" s="53"/>
      <c r="F57" s="53"/>
      <c r="G57" s="243"/>
      <c r="H57" s="53"/>
      <c r="I57" s="53"/>
      <c r="J57" s="53"/>
      <c r="K57" s="53"/>
      <c r="L57" s="53"/>
      <c r="M57" s="53"/>
      <c r="N57" s="53"/>
      <c r="O57" s="53"/>
    </row>
    <row r="58" spans="1:15" x14ac:dyDescent="0.2">
      <c r="A58" s="39">
        <v>2101</v>
      </c>
      <c r="B58" s="42" t="s">
        <v>615</v>
      </c>
      <c r="C58" s="38">
        <v>300000</v>
      </c>
      <c r="D58" s="38">
        <v>50207</v>
      </c>
      <c r="E58" s="250">
        <v>25587</v>
      </c>
      <c r="F58" s="38" t="s">
        <v>616</v>
      </c>
      <c r="G58" s="241"/>
      <c r="H58" s="38"/>
      <c r="I58" s="38"/>
      <c r="J58" s="38">
        <v>0</v>
      </c>
      <c r="K58" s="38"/>
      <c r="L58" s="38">
        <v>25000</v>
      </c>
      <c r="M58" s="38"/>
      <c r="N58" s="38"/>
      <c r="O58" s="38">
        <v>0</v>
      </c>
    </row>
    <row r="59" spans="1:15" x14ac:dyDescent="0.2">
      <c r="A59" s="39">
        <v>2101</v>
      </c>
      <c r="B59" s="42" t="s">
        <v>617</v>
      </c>
      <c r="C59" s="38">
        <v>0</v>
      </c>
      <c r="D59" s="38">
        <v>230000</v>
      </c>
      <c r="E59" s="274">
        <f>14887.31+75000+32000</f>
        <v>121887.31</v>
      </c>
      <c r="F59" s="38" t="s">
        <v>618</v>
      </c>
      <c r="H59" s="38"/>
      <c r="I59" s="38"/>
      <c r="J59" s="38"/>
      <c r="K59" s="38"/>
      <c r="L59" s="38">
        <f>300+9313.67+52000</f>
        <v>61613.67</v>
      </c>
      <c r="M59" s="38"/>
      <c r="N59" s="38"/>
      <c r="O59" s="38"/>
    </row>
    <row r="60" spans="1:15" x14ac:dyDescent="0.2">
      <c r="A60" s="39">
        <v>2102</v>
      </c>
      <c r="B60" s="42" t="s">
        <v>619</v>
      </c>
      <c r="C60" s="38">
        <v>300000</v>
      </c>
      <c r="D60" s="38"/>
      <c r="E60" s="250">
        <v>0</v>
      </c>
      <c r="F60" s="38" t="s">
        <v>620</v>
      </c>
      <c r="G60" s="241"/>
      <c r="H60" s="38"/>
      <c r="I60" s="38"/>
      <c r="J60" s="38">
        <v>0</v>
      </c>
      <c r="K60" s="38"/>
      <c r="L60" s="38">
        <v>200</v>
      </c>
      <c r="M60" s="38"/>
      <c r="N60" s="38"/>
      <c r="O60" s="38">
        <v>0</v>
      </c>
    </row>
    <row r="61" spans="1:15" x14ac:dyDescent="0.2">
      <c r="A61" s="39">
        <v>2103</v>
      </c>
      <c r="B61" s="42" t="s">
        <v>621</v>
      </c>
      <c r="C61" s="38">
        <v>0</v>
      </c>
      <c r="D61" s="38">
        <f>275000</f>
        <v>275000</v>
      </c>
      <c r="E61" s="250">
        <f>124860+5061.5</f>
        <v>129921.5</v>
      </c>
      <c r="F61" s="38" t="s">
        <v>622</v>
      </c>
      <c r="G61" s="241"/>
      <c r="H61" s="38"/>
      <c r="I61" s="38"/>
      <c r="J61" s="38"/>
      <c r="K61" s="38"/>
      <c r="L61" s="38">
        <f>10000+5806</f>
        <v>15806</v>
      </c>
      <c r="M61" s="38"/>
      <c r="N61" s="38"/>
      <c r="O61" s="38"/>
    </row>
    <row r="62" spans="1:15" x14ac:dyDescent="0.2">
      <c r="A62" s="39">
        <v>2102</v>
      </c>
      <c r="B62" s="42" t="s">
        <v>623</v>
      </c>
      <c r="C62" s="38">
        <v>0</v>
      </c>
      <c r="D62" s="38">
        <v>50206</v>
      </c>
      <c r="E62" s="250">
        <v>21855.81</v>
      </c>
      <c r="F62" s="38" t="s">
        <v>624</v>
      </c>
      <c r="G62" s="241"/>
      <c r="H62" s="38"/>
      <c r="I62" s="38"/>
      <c r="J62" s="38"/>
      <c r="K62" s="38"/>
      <c r="L62" s="38">
        <v>28350</v>
      </c>
      <c r="M62" s="38"/>
      <c r="N62" s="38"/>
      <c r="O62" s="38"/>
    </row>
    <row r="63" spans="1:15" x14ac:dyDescent="0.2">
      <c r="A63" s="39">
        <v>2103</v>
      </c>
      <c r="B63" s="42" t="s">
        <v>625</v>
      </c>
      <c r="C63" s="38">
        <v>200000</v>
      </c>
      <c r="D63" s="38"/>
      <c r="E63" s="250">
        <v>0</v>
      </c>
      <c r="F63" s="38"/>
      <c r="G63" s="241"/>
      <c r="H63" s="38"/>
      <c r="I63" s="38"/>
      <c r="J63" s="38">
        <v>0</v>
      </c>
      <c r="K63" s="38"/>
      <c r="L63" s="38"/>
      <c r="M63" s="38"/>
      <c r="N63" s="38"/>
      <c r="O63" s="38">
        <v>0</v>
      </c>
    </row>
    <row r="64" spans="1:15" x14ac:dyDescent="0.2">
      <c r="A64" s="39">
        <v>2102</v>
      </c>
      <c r="B64" s="42" t="s">
        <v>626</v>
      </c>
      <c r="C64" s="38">
        <v>0</v>
      </c>
      <c r="D64" s="38">
        <f>80000</f>
        <v>80000</v>
      </c>
      <c r="E64" s="250">
        <f>4180.94</f>
        <v>4180.9399999999996</v>
      </c>
      <c r="F64" s="38" t="s">
        <v>627</v>
      </c>
      <c r="G64" s="241"/>
      <c r="H64" s="38"/>
      <c r="I64" s="38"/>
      <c r="J64" s="38"/>
      <c r="K64" s="38"/>
      <c r="L64" s="38">
        <f>10000-6833+8558.16</f>
        <v>11725.16</v>
      </c>
      <c r="M64" s="38"/>
      <c r="N64" s="38"/>
      <c r="O64" s="38"/>
    </row>
    <row r="65" spans="1:15" x14ac:dyDescent="0.2">
      <c r="A65" s="39">
        <v>2104</v>
      </c>
      <c r="B65" s="42" t="s">
        <v>628</v>
      </c>
      <c r="C65" s="38">
        <v>200000</v>
      </c>
      <c r="D65" s="38">
        <v>43035</v>
      </c>
      <c r="E65" s="250">
        <v>14052.94</v>
      </c>
      <c r="F65" s="38" t="s">
        <v>629</v>
      </c>
      <c r="G65" s="241"/>
      <c r="H65" s="38"/>
      <c r="I65" s="38"/>
      <c r="J65" s="38">
        <v>0</v>
      </c>
      <c r="K65" s="38"/>
      <c r="L65" s="38">
        <v>2683</v>
      </c>
      <c r="M65" s="38"/>
      <c r="N65" s="38"/>
      <c r="O65" s="38">
        <v>0</v>
      </c>
    </row>
    <row r="66" spans="1:15" x14ac:dyDescent="0.2">
      <c r="A66" s="39">
        <v>2104</v>
      </c>
      <c r="B66" s="42" t="s">
        <v>630</v>
      </c>
      <c r="C66" s="38">
        <v>0</v>
      </c>
      <c r="D66" s="38">
        <v>170000</v>
      </c>
      <c r="E66" s="250">
        <f>4938.9+30000+260</f>
        <v>35198.9</v>
      </c>
      <c r="F66" s="38" t="s">
        <v>631</v>
      </c>
      <c r="G66" s="241"/>
      <c r="H66" s="38"/>
      <c r="I66" s="38"/>
      <c r="J66" s="38"/>
      <c r="K66" s="38"/>
      <c r="L66" s="38">
        <f>30000+8113.59</f>
        <v>38113.589999999997</v>
      </c>
      <c r="M66" s="38"/>
      <c r="N66" s="38"/>
      <c r="O66" s="38"/>
    </row>
    <row r="67" spans="1:15" ht="24" x14ac:dyDescent="0.2">
      <c r="A67" s="39">
        <v>2105</v>
      </c>
      <c r="B67" s="40" t="s">
        <v>632</v>
      </c>
      <c r="C67" s="38">
        <v>100000</v>
      </c>
      <c r="D67" s="38"/>
      <c r="E67" s="38"/>
      <c r="F67" s="38"/>
      <c r="G67" s="241"/>
      <c r="H67" s="38"/>
      <c r="I67" s="38"/>
      <c r="J67" s="38">
        <v>0</v>
      </c>
      <c r="K67" s="38"/>
      <c r="L67" s="38"/>
      <c r="M67" s="38"/>
      <c r="N67" s="38"/>
      <c r="O67" s="38">
        <v>0</v>
      </c>
    </row>
    <row r="68" spans="1:15" x14ac:dyDescent="0.2">
      <c r="A68" s="39">
        <v>2106</v>
      </c>
      <c r="B68" s="42" t="s">
        <v>633</v>
      </c>
      <c r="C68" s="38">
        <v>300000</v>
      </c>
      <c r="D68" s="38">
        <v>15000</v>
      </c>
      <c r="E68" s="250">
        <v>15000</v>
      </c>
      <c r="F68" s="38" t="s">
        <v>634</v>
      </c>
      <c r="G68" s="241"/>
      <c r="H68" s="38"/>
      <c r="I68" s="38"/>
      <c r="J68" s="38">
        <v>300000</v>
      </c>
      <c r="K68" s="38"/>
      <c r="L68" s="38"/>
      <c r="M68" s="38"/>
      <c r="N68" s="38"/>
      <c r="O68" s="38">
        <v>300000</v>
      </c>
    </row>
    <row r="69" spans="1:15" x14ac:dyDescent="0.2">
      <c r="A69" s="39">
        <v>2106</v>
      </c>
      <c r="B69" s="42" t="s">
        <v>635</v>
      </c>
      <c r="C69" s="38">
        <v>0</v>
      </c>
      <c r="D69" s="38">
        <v>50860</v>
      </c>
      <c r="E69" s="250">
        <v>9800</v>
      </c>
      <c r="F69" s="38" t="s">
        <v>636</v>
      </c>
      <c r="G69" s="241"/>
      <c r="H69" s="38"/>
      <c r="I69" s="38"/>
      <c r="J69" s="38"/>
      <c r="K69" s="38"/>
      <c r="L69" s="38">
        <v>-4900</v>
      </c>
      <c r="M69" s="38"/>
      <c r="N69" s="38"/>
      <c r="O69" s="38"/>
    </row>
    <row r="70" spans="1:15" x14ac:dyDescent="0.2">
      <c r="A70" s="39">
        <v>2107</v>
      </c>
      <c r="B70" s="43" t="s">
        <v>637</v>
      </c>
      <c r="C70" s="38">
        <v>50000</v>
      </c>
      <c r="D70" s="38">
        <v>64501</v>
      </c>
      <c r="E70" s="38">
        <v>0.28999999999999998</v>
      </c>
      <c r="F70" s="38" t="s">
        <v>638</v>
      </c>
      <c r="G70" s="241"/>
      <c r="H70" s="38"/>
      <c r="I70" s="38"/>
      <c r="J70" s="38">
        <v>50000</v>
      </c>
      <c r="K70" s="38"/>
      <c r="L70" s="38"/>
      <c r="M70" s="38"/>
      <c r="N70" s="38"/>
      <c r="O70" s="38">
        <v>50000</v>
      </c>
    </row>
    <row r="71" spans="1:15" x14ac:dyDescent="0.2">
      <c r="A71" s="39">
        <v>2107</v>
      </c>
      <c r="B71" s="43" t="s">
        <v>639</v>
      </c>
      <c r="C71" s="38">
        <v>150000</v>
      </c>
      <c r="D71" s="38"/>
      <c r="E71" s="250">
        <v>0</v>
      </c>
      <c r="F71" s="38"/>
      <c r="G71" s="241"/>
      <c r="H71" s="38"/>
      <c r="I71" s="38"/>
      <c r="J71" s="38">
        <v>150000</v>
      </c>
      <c r="K71" s="38"/>
      <c r="L71" s="38"/>
      <c r="M71" s="38"/>
      <c r="N71" s="38"/>
      <c r="O71" s="38">
        <v>150000</v>
      </c>
    </row>
    <row r="72" spans="1:15" x14ac:dyDescent="0.2">
      <c r="A72" s="39">
        <v>2107</v>
      </c>
      <c r="B72" s="231" t="s">
        <v>640</v>
      </c>
      <c r="C72" s="38">
        <v>0</v>
      </c>
      <c r="D72" s="38">
        <v>33922</v>
      </c>
      <c r="E72" s="250">
        <v>33922</v>
      </c>
      <c r="F72" s="38" t="s">
        <v>641</v>
      </c>
      <c r="G72" s="241">
        <f>22547.91+15783.54</f>
        <v>38331.449999999997</v>
      </c>
      <c r="H72" s="38" t="s">
        <v>642</v>
      </c>
      <c r="I72" s="38"/>
      <c r="J72" s="38"/>
      <c r="K72" s="38"/>
      <c r="L72" s="38">
        <v>33922</v>
      </c>
      <c r="M72" s="38"/>
      <c r="N72" s="38"/>
      <c r="O72" s="38"/>
    </row>
    <row r="73" spans="1:15" x14ac:dyDescent="0.2">
      <c r="A73" s="39">
        <v>2108</v>
      </c>
      <c r="B73" s="42" t="s">
        <v>643</v>
      </c>
      <c r="C73" s="38">
        <v>100000</v>
      </c>
      <c r="D73" s="38">
        <v>49406</v>
      </c>
      <c r="E73" s="250">
        <v>4450.66</v>
      </c>
      <c r="F73" s="38" t="s">
        <v>644</v>
      </c>
      <c r="G73" s="241"/>
      <c r="H73" s="38"/>
      <c r="I73" s="38"/>
      <c r="J73" s="38">
        <v>100000</v>
      </c>
      <c r="K73" s="38"/>
      <c r="L73" s="38">
        <v>168</v>
      </c>
      <c r="M73" s="38"/>
      <c r="N73" s="38"/>
      <c r="O73" s="38">
        <v>100000</v>
      </c>
    </row>
    <row r="74" spans="1:15" x14ac:dyDescent="0.2">
      <c r="A74" s="39">
        <v>2108</v>
      </c>
      <c r="B74" s="42" t="s">
        <v>645</v>
      </c>
      <c r="C74" s="38">
        <v>0</v>
      </c>
      <c r="D74" s="38">
        <v>25000</v>
      </c>
      <c r="E74" s="38">
        <v>0</v>
      </c>
      <c r="F74" s="38" t="s">
        <v>646</v>
      </c>
      <c r="G74" s="241"/>
      <c r="H74" s="38"/>
      <c r="I74" s="38"/>
      <c r="J74" s="38"/>
      <c r="K74" s="38"/>
      <c r="L74" s="38">
        <v>10000</v>
      </c>
      <c r="M74" s="38"/>
      <c r="N74" s="38"/>
      <c r="O74" s="38"/>
    </row>
    <row r="75" spans="1:15" x14ac:dyDescent="0.2">
      <c r="A75" s="39">
        <v>2109</v>
      </c>
      <c r="B75" s="42" t="s">
        <v>647</v>
      </c>
      <c r="C75" s="38">
        <v>30000</v>
      </c>
      <c r="D75" s="38"/>
      <c r="E75" s="38"/>
      <c r="F75" s="38"/>
      <c r="G75" s="241"/>
      <c r="H75" s="38"/>
      <c r="I75" s="38"/>
      <c r="J75" s="38">
        <v>30000</v>
      </c>
      <c r="K75" s="38"/>
      <c r="L75" s="38"/>
      <c r="M75" s="38"/>
      <c r="N75" s="38"/>
      <c r="O75" s="38">
        <v>30000</v>
      </c>
    </row>
    <row r="76" spans="1:15" x14ac:dyDescent="0.2">
      <c r="A76" s="39">
        <v>2109</v>
      </c>
      <c r="B76" s="42" t="s">
        <v>648</v>
      </c>
      <c r="C76" s="38">
        <v>0</v>
      </c>
      <c r="D76" s="38">
        <v>24810</v>
      </c>
      <c r="E76" s="250">
        <v>24810</v>
      </c>
      <c r="F76" s="38" t="s">
        <v>649</v>
      </c>
      <c r="G76" s="241"/>
      <c r="H76" s="38"/>
      <c r="I76" s="38"/>
      <c r="J76" s="38"/>
      <c r="K76" s="38"/>
      <c r="L76" s="38"/>
      <c r="M76" s="38"/>
      <c r="N76" s="38"/>
      <c r="O76" s="38"/>
    </row>
    <row r="77" spans="1:15" x14ac:dyDescent="0.2">
      <c r="A77" s="39">
        <v>2110</v>
      </c>
      <c r="B77" s="42" t="s">
        <v>650</v>
      </c>
      <c r="C77" s="38">
        <v>20000</v>
      </c>
      <c r="D77" s="38"/>
      <c r="E77" s="38"/>
      <c r="F77" s="38"/>
      <c r="G77" s="241"/>
      <c r="H77" s="38"/>
      <c r="I77" s="38"/>
      <c r="J77" s="38">
        <v>20000</v>
      </c>
      <c r="K77" s="38"/>
      <c r="L77" s="38"/>
      <c r="M77" s="38"/>
      <c r="N77" s="38"/>
      <c r="O77" s="38">
        <v>20000</v>
      </c>
    </row>
    <row r="78" spans="1:15" x14ac:dyDescent="0.2">
      <c r="A78" s="39">
        <v>2110</v>
      </c>
      <c r="B78" s="42" t="s">
        <v>651</v>
      </c>
      <c r="C78" s="38">
        <v>0</v>
      </c>
      <c r="D78" s="38">
        <v>10000</v>
      </c>
      <c r="E78" s="250">
        <v>10000</v>
      </c>
      <c r="F78" s="38" t="s">
        <v>652</v>
      </c>
      <c r="G78" s="241">
        <v>40000</v>
      </c>
      <c r="H78" s="38" t="s">
        <v>653</v>
      </c>
      <c r="I78" s="38"/>
      <c r="J78" s="38"/>
      <c r="K78" s="38"/>
      <c r="L78" s="38"/>
      <c r="M78" s="38"/>
      <c r="N78" s="38"/>
      <c r="O78" s="38"/>
    </row>
    <row r="79" spans="1:15" ht="36" x14ac:dyDescent="0.2">
      <c r="A79" s="39">
        <v>2111</v>
      </c>
      <c r="B79" s="42" t="s">
        <v>654</v>
      </c>
      <c r="C79" s="38">
        <v>1300000</v>
      </c>
      <c r="D79" s="38">
        <f>672714.58+438719+470748</f>
        <v>1582181.58</v>
      </c>
      <c r="E79" s="250">
        <f>697624+438719+470748</f>
        <v>1607091</v>
      </c>
      <c r="F79" s="261" t="s">
        <v>655</v>
      </c>
      <c r="G79" s="241"/>
      <c r="H79" s="38"/>
      <c r="I79" s="38"/>
      <c r="J79" s="38">
        <v>0</v>
      </c>
      <c r="K79" s="38"/>
      <c r="L79" s="38"/>
      <c r="M79" s="38"/>
      <c r="N79" s="38"/>
      <c r="O79" s="38">
        <v>0</v>
      </c>
    </row>
    <row r="80" spans="1:15" x14ac:dyDescent="0.2">
      <c r="A80" s="39">
        <v>2111</v>
      </c>
      <c r="B80" s="42" t="s">
        <v>656</v>
      </c>
      <c r="C80" s="38">
        <v>0</v>
      </c>
      <c r="D80" s="38">
        <v>22124</v>
      </c>
      <c r="E80" s="38">
        <v>0</v>
      </c>
      <c r="F80" s="38" t="s">
        <v>657</v>
      </c>
      <c r="G80" s="241"/>
      <c r="H80" s="38"/>
      <c r="I80" s="38"/>
      <c r="J80" s="38"/>
      <c r="K80" s="38"/>
      <c r="L80" s="38"/>
      <c r="M80" s="38"/>
      <c r="N80" s="38"/>
      <c r="O80" s="38"/>
    </row>
    <row r="81" spans="1:15" x14ac:dyDescent="0.2">
      <c r="A81" s="39">
        <v>2112</v>
      </c>
      <c r="B81" s="42" t="s">
        <v>658</v>
      </c>
      <c r="C81" s="38">
        <v>0</v>
      </c>
      <c r="D81" s="241">
        <v>3918545</v>
      </c>
      <c r="E81" s="274">
        <v>82070.69</v>
      </c>
      <c r="F81" s="38" t="s">
        <v>659</v>
      </c>
      <c r="G81" s="241">
        <v>2104032</v>
      </c>
      <c r="H81" s="38" t="s">
        <v>660</v>
      </c>
      <c r="I81" s="38"/>
      <c r="J81" s="38">
        <v>2600000</v>
      </c>
      <c r="K81" s="38"/>
      <c r="L81" s="38">
        <v>249563.25</v>
      </c>
      <c r="M81" s="38"/>
      <c r="N81" s="38"/>
      <c r="O81" s="38">
        <v>2600000</v>
      </c>
    </row>
    <row r="82" spans="1:15" x14ac:dyDescent="0.2">
      <c r="A82" s="39">
        <v>2112</v>
      </c>
      <c r="B82" s="42" t="s">
        <v>661</v>
      </c>
      <c r="C82" s="38">
        <v>0</v>
      </c>
      <c r="D82" s="38">
        <v>10798</v>
      </c>
      <c r="E82" s="38">
        <v>0</v>
      </c>
      <c r="F82" s="38" t="s">
        <v>662</v>
      </c>
      <c r="G82" s="241"/>
      <c r="H82" s="38"/>
      <c r="I82" s="38"/>
      <c r="J82" s="38"/>
      <c r="K82" s="38"/>
      <c r="L82" s="38">
        <v>5682</v>
      </c>
      <c r="M82" s="38"/>
      <c r="N82" s="38"/>
      <c r="O82" s="38"/>
    </row>
    <row r="83" spans="1:15" x14ac:dyDescent="0.2">
      <c r="A83" s="39">
        <v>2113</v>
      </c>
      <c r="B83" s="42" t="s">
        <v>663</v>
      </c>
      <c r="C83" s="38">
        <v>0</v>
      </c>
      <c r="D83" s="38">
        <v>25176</v>
      </c>
      <c r="E83" s="250">
        <v>2753.22</v>
      </c>
      <c r="F83" s="38" t="s">
        <v>664</v>
      </c>
      <c r="G83" s="241"/>
      <c r="H83" s="38"/>
      <c r="I83" s="38"/>
      <c r="J83" s="38"/>
      <c r="K83" s="38"/>
      <c r="L83" s="38">
        <v>-135</v>
      </c>
      <c r="M83" s="38"/>
      <c r="N83" s="38"/>
      <c r="O83" s="38"/>
    </row>
    <row r="84" spans="1:15" x14ac:dyDescent="0.2">
      <c r="A84" s="39">
        <v>2114</v>
      </c>
      <c r="B84" s="42" t="s">
        <v>665</v>
      </c>
      <c r="C84" s="38">
        <v>0</v>
      </c>
      <c r="D84" s="38">
        <v>13381</v>
      </c>
      <c r="E84" s="38">
        <v>0</v>
      </c>
      <c r="F84" s="38" t="s">
        <v>666</v>
      </c>
      <c r="G84" s="241"/>
      <c r="H84" s="38"/>
      <c r="I84" s="38"/>
      <c r="J84" s="38"/>
      <c r="K84" s="38"/>
      <c r="L84" s="38">
        <v>1125</v>
      </c>
      <c r="M84" s="38"/>
      <c r="N84" s="38"/>
      <c r="O84" s="38"/>
    </row>
    <row r="85" spans="1:15" x14ac:dyDescent="0.2">
      <c r="A85" s="39">
        <v>2115</v>
      </c>
      <c r="B85" s="42" t="s">
        <v>667</v>
      </c>
      <c r="C85" s="38">
        <v>0</v>
      </c>
      <c r="D85" s="38">
        <v>40700</v>
      </c>
      <c r="E85" s="250">
        <v>5893.81</v>
      </c>
      <c r="F85" s="38" t="s">
        <v>668</v>
      </c>
      <c r="G85" s="241"/>
      <c r="H85" s="38"/>
      <c r="I85" s="38"/>
      <c r="J85" s="38"/>
      <c r="K85" s="38"/>
      <c r="L85" s="38">
        <v>-329</v>
      </c>
      <c r="M85" s="38"/>
      <c r="N85" s="38"/>
      <c r="O85" s="38"/>
    </row>
    <row r="86" spans="1:15" x14ac:dyDescent="0.2">
      <c r="A86" s="39">
        <v>2116</v>
      </c>
      <c r="B86" s="42" t="s">
        <v>669</v>
      </c>
      <c r="C86" s="38">
        <v>0</v>
      </c>
      <c r="D86" s="38">
        <v>16413</v>
      </c>
      <c r="E86" s="250">
        <v>16413</v>
      </c>
      <c r="F86" s="38" t="s">
        <v>670</v>
      </c>
      <c r="G86" s="241"/>
      <c r="H86" s="38"/>
      <c r="I86" s="38"/>
      <c r="J86" s="38"/>
      <c r="K86" s="38"/>
      <c r="L86" s="38">
        <v>-12823</v>
      </c>
      <c r="M86" s="38"/>
      <c r="N86" s="38"/>
      <c r="O86" s="38"/>
    </row>
    <row r="87" spans="1:15" x14ac:dyDescent="0.2">
      <c r="A87" s="39">
        <v>2117</v>
      </c>
      <c r="B87" s="42" t="s">
        <v>671</v>
      </c>
      <c r="C87" s="38">
        <v>0</v>
      </c>
      <c r="D87" s="38">
        <v>17045</v>
      </c>
      <c r="E87" s="250">
        <v>1481.47</v>
      </c>
      <c r="F87" s="38" t="s">
        <v>672</v>
      </c>
      <c r="G87" s="241"/>
      <c r="H87" s="38"/>
      <c r="I87" s="38"/>
      <c r="J87" s="38"/>
      <c r="K87" s="38"/>
      <c r="L87" s="38"/>
      <c r="M87" s="38"/>
      <c r="N87" s="38"/>
      <c r="O87" s="38"/>
    </row>
    <row r="88" spans="1:15" x14ac:dyDescent="0.2">
      <c r="A88" s="39">
        <v>2118</v>
      </c>
      <c r="B88" s="42" t="s">
        <v>673</v>
      </c>
      <c r="C88" s="38">
        <v>0</v>
      </c>
      <c r="D88" s="38">
        <v>51240</v>
      </c>
      <c r="E88" s="250">
        <v>11503.97</v>
      </c>
      <c r="F88" s="38" t="s">
        <v>674</v>
      </c>
      <c r="G88" s="241"/>
      <c r="H88" s="38"/>
      <c r="I88" s="38"/>
      <c r="J88" s="38"/>
      <c r="K88" s="38"/>
      <c r="L88" s="38">
        <v>-11257</v>
      </c>
      <c r="M88" s="38"/>
      <c r="N88" s="38"/>
      <c r="O88" s="38"/>
    </row>
    <row r="89" spans="1:15" x14ac:dyDescent="0.2">
      <c r="A89" s="39">
        <v>2119</v>
      </c>
      <c r="B89" s="42" t="s">
        <v>675</v>
      </c>
      <c r="C89" s="38">
        <v>0</v>
      </c>
      <c r="D89" s="38">
        <v>4425</v>
      </c>
      <c r="E89" s="38">
        <v>0</v>
      </c>
      <c r="F89" s="38" t="s">
        <v>676</v>
      </c>
      <c r="G89" s="241"/>
      <c r="H89" s="38"/>
      <c r="I89" s="38"/>
      <c r="J89" s="38"/>
      <c r="K89" s="38"/>
      <c r="L89" s="38"/>
      <c r="M89" s="38"/>
      <c r="N89" s="38"/>
      <c r="O89" s="38"/>
    </row>
    <row r="90" spans="1:15" x14ac:dyDescent="0.2">
      <c r="A90" s="39">
        <v>2120</v>
      </c>
      <c r="B90" s="42" t="s">
        <v>677</v>
      </c>
      <c r="C90" s="38">
        <v>0</v>
      </c>
      <c r="D90" s="38">
        <v>4425</v>
      </c>
      <c r="E90" s="250">
        <v>4180.26</v>
      </c>
      <c r="F90" s="38" t="s">
        <v>678</v>
      </c>
      <c r="G90" s="241"/>
      <c r="H90" s="38"/>
      <c r="I90" s="38"/>
      <c r="J90" s="38"/>
      <c r="K90" s="38"/>
      <c r="L90" s="38"/>
      <c r="M90" s="38"/>
      <c r="N90" s="38"/>
      <c r="O90" s="38"/>
    </row>
    <row r="91" spans="1:15" x14ac:dyDescent="0.2">
      <c r="A91" s="39">
        <v>2121</v>
      </c>
      <c r="B91" s="42" t="s">
        <v>679</v>
      </c>
      <c r="C91" s="38">
        <v>0</v>
      </c>
      <c r="D91" s="38">
        <v>5854</v>
      </c>
      <c r="E91" s="38">
        <v>0</v>
      </c>
      <c r="F91" s="38" t="s">
        <v>680</v>
      </c>
      <c r="G91" s="241"/>
      <c r="H91" s="38"/>
      <c r="I91" s="38"/>
      <c r="J91" s="38"/>
      <c r="K91" s="38"/>
      <c r="L91" s="38"/>
      <c r="M91" s="38"/>
      <c r="N91" s="38"/>
      <c r="O91" s="38"/>
    </row>
    <row r="92" spans="1:15" x14ac:dyDescent="0.2">
      <c r="A92" s="39">
        <v>2122</v>
      </c>
      <c r="B92" s="42" t="s">
        <v>681</v>
      </c>
      <c r="C92" s="38">
        <v>0</v>
      </c>
      <c r="D92" s="38">
        <v>148890</v>
      </c>
      <c r="E92" s="250">
        <v>9000</v>
      </c>
      <c r="F92" s="38" t="s">
        <v>682</v>
      </c>
      <c r="G92" s="241"/>
      <c r="H92" s="38"/>
      <c r="I92" s="38"/>
      <c r="J92" s="38"/>
      <c r="K92" s="38"/>
      <c r="L92" s="38"/>
      <c r="M92" s="38"/>
      <c r="N92" s="38"/>
      <c r="O92" s="38"/>
    </row>
    <row r="93" spans="1:15" x14ac:dyDescent="0.2">
      <c r="A93" s="39">
        <v>2123</v>
      </c>
      <c r="B93" s="42" t="s">
        <v>683</v>
      </c>
      <c r="C93" s="38">
        <v>0</v>
      </c>
      <c r="D93" s="38">
        <v>68040</v>
      </c>
      <c r="E93" s="38">
        <v>0</v>
      </c>
      <c r="F93" s="38" t="s">
        <v>684</v>
      </c>
      <c r="G93" s="241"/>
      <c r="H93" s="38"/>
      <c r="I93" s="38"/>
      <c r="J93" s="38"/>
      <c r="K93" s="38"/>
      <c r="L93" s="38"/>
      <c r="M93" s="38"/>
      <c r="N93" s="38"/>
      <c r="O93" s="38"/>
    </row>
    <row r="94" spans="1:15" x14ac:dyDescent="0.2">
      <c r="A94" s="39">
        <v>2124</v>
      </c>
      <c r="B94" s="42" t="s">
        <v>685</v>
      </c>
      <c r="C94" s="38">
        <v>0</v>
      </c>
      <c r="D94" s="38">
        <v>12731</v>
      </c>
      <c r="E94" s="38">
        <v>0</v>
      </c>
      <c r="F94" s="38" t="s">
        <v>686</v>
      </c>
      <c r="G94" s="241"/>
      <c r="H94" s="38"/>
      <c r="I94" s="38"/>
      <c r="J94" s="38"/>
      <c r="K94" s="38"/>
      <c r="L94" s="38"/>
      <c r="M94" s="38"/>
      <c r="N94" s="38"/>
      <c r="O94" s="38"/>
    </row>
    <row r="95" spans="1:15" x14ac:dyDescent="0.2">
      <c r="A95" s="39">
        <v>2125</v>
      </c>
      <c r="B95" s="42" t="s">
        <v>687</v>
      </c>
      <c r="C95" s="38">
        <v>0</v>
      </c>
      <c r="D95" s="38">
        <v>100800</v>
      </c>
      <c r="E95" s="250">
        <v>99490.12</v>
      </c>
      <c r="F95" s="38" t="s">
        <v>688</v>
      </c>
      <c r="G95" s="241"/>
      <c r="H95" s="38"/>
      <c r="I95" s="38"/>
      <c r="J95" s="38"/>
      <c r="K95" s="38"/>
      <c r="L95" s="38"/>
      <c r="M95" s="38"/>
      <c r="N95" s="38"/>
      <c r="O95" s="38"/>
    </row>
    <row r="96" spans="1:15" ht="24" x14ac:dyDescent="0.2">
      <c r="A96" s="39">
        <v>2126</v>
      </c>
      <c r="B96" s="42" t="s">
        <v>689</v>
      </c>
      <c r="C96" s="38">
        <v>0</v>
      </c>
      <c r="D96" s="38">
        <v>53973</v>
      </c>
      <c r="E96" s="38">
        <v>0</v>
      </c>
      <c r="F96" s="38" t="s">
        <v>690</v>
      </c>
      <c r="G96" s="241">
        <v>25000</v>
      </c>
      <c r="H96" s="261" t="s">
        <v>691</v>
      </c>
      <c r="I96" s="38"/>
      <c r="J96" s="38"/>
      <c r="K96" s="38"/>
      <c r="L96" s="38"/>
      <c r="M96" s="38"/>
      <c r="N96" s="38"/>
      <c r="O96" s="38"/>
    </row>
    <row r="97" spans="1:15" x14ac:dyDescent="0.2">
      <c r="A97" s="39">
        <v>2127</v>
      </c>
      <c r="B97" s="42" t="s">
        <v>692</v>
      </c>
      <c r="C97" s="38">
        <v>0</v>
      </c>
      <c r="D97" s="38">
        <v>86993</v>
      </c>
      <c r="E97" s="38">
        <v>0</v>
      </c>
      <c r="F97" s="38" t="s">
        <v>693</v>
      </c>
      <c r="G97" s="241">
        <v>90000</v>
      </c>
      <c r="H97" s="38" t="s">
        <v>694</v>
      </c>
      <c r="I97" s="38"/>
      <c r="J97" s="38"/>
      <c r="K97" s="38"/>
      <c r="L97" s="38"/>
      <c r="M97" s="38"/>
      <c r="N97" s="38"/>
      <c r="O97" s="38"/>
    </row>
    <row r="98" spans="1:15" x14ac:dyDescent="0.2">
      <c r="A98" s="39">
        <v>2128</v>
      </c>
      <c r="B98" s="42" t="s">
        <v>695</v>
      </c>
      <c r="C98" s="38">
        <v>0</v>
      </c>
      <c r="D98" s="38">
        <v>614</v>
      </c>
      <c r="E98" s="250">
        <v>593.78</v>
      </c>
      <c r="F98" s="38" t="s">
        <v>696</v>
      </c>
      <c r="G98" s="241"/>
      <c r="H98" s="38"/>
      <c r="I98" s="38"/>
      <c r="J98" s="38"/>
      <c r="K98" s="38"/>
      <c r="L98" s="38"/>
      <c r="M98" s="38"/>
      <c r="N98" s="38"/>
      <c r="O98" s="38"/>
    </row>
    <row r="99" spans="1:15" x14ac:dyDescent="0.2">
      <c r="A99" s="39">
        <v>2129</v>
      </c>
      <c r="B99" s="42" t="s">
        <v>697</v>
      </c>
      <c r="C99" s="38">
        <v>0</v>
      </c>
      <c r="D99" s="38">
        <v>2722</v>
      </c>
      <c r="E99" s="38">
        <v>0</v>
      </c>
      <c r="F99" s="38" t="s">
        <v>698</v>
      </c>
      <c r="G99" s="241">
        <v>92590</v>
      </c>
      <c r="H99" s="38" t="s">
        <v>699</v>
      </c>
      <c r="I99" s="38"/>
      <c r="J99" s="38"/>
      <c r="K99" s="38"/>
      <c r="L99" s="38"/>
      <c r="M99" s="38"/>
      <c r="N99" s="38"/>
      <c r="O99" s="38"/>
    </row>
    <row r="100" spans="1:15" x14ac:dyDescent="0.2">
      <c r="A100" s="39">
        <v>2130</v>
      </c>
      <c r="B100" s="42" t="s">
        <v>700</v>
      </c>
      <c r="C100" s="38">
        <v>0</v>
      </c>
      <c r="D100" s="38">
        <v>108144</v>
      </c>
      <c r="E100" s="38">
        <v>0</v>
      </c>
      <c r="F100" s="38" t="s">
        <v>701</v>
      </c>
      <c r="G100" s="241"/>
      <c r="H100" s="38"/>
      <c r="I100" s="38"/>
      <c r="J100" s="38"/>
      <c r="K100" s="38"/>
      <c r="L100" s="38"/>
      <c r="M100" s="38"/>
      <c r="N100" s="38"/>
      <c r="O100" s="38"/>
    </row>
    <row r="101" spans="1:15" x14ac:dyDescent="0.2">
      <c r="A101" s="39">
        <v>2131</v>
      </c>
      <c r="B101" s="42" t="s">
        <v>702</v>
      </c>
      <c r="C101" s="38">
        <v>0</v>
      </c>
      <c r="D101" s="38">
        <v>35000</v>
      </c>
      <c r="E101" s="38">
        <v>0</v>
      </c>
      <c r="F101" s="38" t="s">
        <v>703</v>
      </c>
      <c r="G101" s="241"/>
      <c r="H101" s="38"/>
      <c r="I101" s="38"/>
      <c r="J101" s="38"/>
      <c r="K101" s="38"/>
      <c r="L101" s="38"/>
      <c r="M101" s="38"/>
      <c r="N101" s="38"/>
      <c r="O101" s="38"/>
    </row>
    <row r="102" spans="1:15" x14ac:dyDescent="0.2">
      <c r="A102" s="39">
        <v>2132</v>
      </c>
      <c r="B102" s="42" t="s">
        <v>704</v>
      </c>
      <c r="C102" s="38">
        <v>0</v>
      </c>
      <c r="D102" s="38">
        <v>44248</v>
      </c>
      <c r="E102" s="250">
        <v>0</v>
      </c>
      <c r="F102" s="38" t="s">
        <v>705</v>
      </c>
      <c r="G102" s="241">
        <v>50000</v>
      </c>
      <c r="H102" s="38" t="s">
        <v>706</v>
      </c>
      <c r="I102" s="38"/>
      <c r="J102" s="38"/>
      <c r="K102" s="38"/>
      <c r="L102" s="38"/>
      <c r="M102" s="38"/>
      <c r="N102" s="38"/>
      <c r="O102" s="38"/>
    </row>
    <row r="103" spans="1:15" x14ac:dyDescent="0.2">
      <c r="A103" s="39">
        <v>2133</v>
      </c>
      <c r="B103" s="42" t="s">
        <v>707</v>
      </c>
      <c r="C103" s="38">
        <v>0</v>
      </c>
      <c r="D103" s="38">
        <v>39895</v>
      </c>
      <c r="E103" s="250">
        <v>20000</v>
      </c>
      <c r="F103" s="38" t="s">
        <v>708</v>
      </c>
      <c r="G103" s="241">
        <f>45081+10020</f>
        <v>55101</v>
      </c>
      <c r="H103" s="38" t="s">
        <v>709</v>
      </c>
      <c r="I103" s="38"/>
      <c r="J103" s="38"/>
      <c r="K103" s="38"/>
      <c r="L103" s="38"/>
      <c r="M103" s="38"/>
      <c r="N103" s="38"/>
      <c r="O103" s="38"/>
    </row>
    <row r="104" spans="1:15" x14ac:dyDescent="0.2">
      <c r="A104" s="39">
        <v>2134</v>
      </c>
      <c r="B104" s="42" t="s">
        <v>710</v>
      </c>
      <c r="C104" s="38">
        <v>0</v>
      </c>
      <c r="D104" s="38">
        <v>48763</v>
      </c>
      <c r="E104" s="250">
        <v>48763</v>
      </c>
      <c r="F104" s="38" t="s">
        <v>711</v>
      </c>
      <c r="G104" s="241">
        <f>55102.65+3339</f>
        <v>58441.65</v>
      </c>
      <c r="H104" s="38" t="s">
        <v>712</v>
      </c>
      <c r="I104" s="38"/>
      <c r="J104" s="38"/>
      <c r="K104" s="38"/>
      <c r="L104" s="38"/>
      <c r="M104" s="38"/>
      <c r="N104" s="38"/>
      <c r="O104" s="38"/>
    </row>
    <row r="105" spans="1:15" s="31" customFormat="1" x14ac:dyDescent="0.2">
      <c r="A105" s="49">
        <v>20</v>
      </c>
      <c r="B105" s="50" t="s">
        <v>713</v>
      </c>
      <c r="C105" s="52">
        <f>SUM(C58:C104)</f>
        <v>3050000</v>
      </c>
      <c r="D105" s="52">
        <f>SUM(D58:D104)</f>
        <v>7635067.5800000001</v>
      </c>
      <c r="E105" s="52">
        <f>SUM(E58:E104)</f>
        <v>2359901.6700000004</v>
      </c>
      <c r="F105" s="52"/>
      <c r="G105" s="244">
        <f>SUM(G58:G104)</f>
        <v>2553496.1</v>
      </c>
      <c r="H105" s="52"/>
      <c r="I105" s="52"/>
      <c r="J105" s="52">
        <f>SUM(J58:J81)</f>
        <v>3250000</v>
      </c>
      <c r="K105" s="52">
        <f t="shared" ref="K105" si="10">SUM(K58:K81)</f>
        <v>0</v>
      </c>
      <c r="L105" s="52">
        <f>SUM(L58:L104)</f>
        <v>454507.67</v>
      </c>
      <c r="M105" s="52"/>
      <c r="N105" s="52"/>
      <c r="O105" s="52">
        <f>SUM(O58:O81)</f>
        <v>3250000</v>
      </c>
    </row>
    <row r="106" spans="1:15" x14ac:dyDescent="0.2">
      <c r="A106" s="39"/>
      <c r="B106" s="42"/>
      <c r="C106" s="38"/>
      <c r="D106" s="38"/>
      <c r="E106" s="38"/>
      <c r="F106" s="38"/>
      <c r="G106" s="241"/>
      <c r="H106" s="38"/>
      <c r="I106" s="38"/>
      <c r="J106" s="38"/>
      <c r="K106" s="38"/>
      <c r="L106" s="38"/>
      <c r="M106" s="38"/>
      <c r="N106" s="38"/>
      <c r="O106" s="38"/>
    </row>
    <row r="107" spans="1:15" s="31" customFormat="1" ht="12.75" customHeight="1" x14ac:dyDescent="0.2">
      <c r="A107" s="49">
        <v>30</v>
      </c>
      <c r="B107" s="50" t="s">
        <v>714</v>
      </c>
      <c r="C107" s="53"/>
      <c r="D107" s="53"/>
      <c r="E107" s="53"/>
      <c r="F107" s="53"/>
      <c r="G107" s="243"/>
      <c r="H107" s="53"/>
      <c r="I107" s="53"/>
      <c r="J107" s="53"/>
      <c r="K107" s="53"/>
      <c r="L107" s="53"/>
      <c r="M107" s="53"/>
      <c r="N107" s="53"/>
      <c r="O107" s="53"/>
    </row>
    <row r="108" spans="1:15" s="31" customFormat="1" ht="12.75" customHeight="1" x14ac:dyDescent="0.2">
      <c r="A108" s="49">
        <v>3200</v>
      </c>
      <c r="B108" s="50" t="s">
        <v>715</v>
      </c>
      <c r="C108" s="53"/>
      <c r="D108" s="53"/>
      <c r="E108" s="53"/>
      <c r="F108" s="53"/>
      <c r="G108" s="243"/>
      <c r="H108" s="53"/>
      <c r="I108" s="53"/>
      <c r="J108" s="53"/>
      <c r="K108" s="53"/>
      <c r="L108" s="53"/>
      <c r="M108" s="53"/>
      <c r="N108" s="53"/>
      <c r="O108" s="53"/>
    </row>
    <row r="109" spans="1:15" s="31" customFormat="1" ht="12.75" customHeight="1" x14ac:dyDescent="0.2">
      <c r="A109" s="89">
        <v>3201</v>
      </c>
      <c r="B109" s="90" t="s">
        <v>716</v>
      </c>
      <c r="C109" s="92">
        <v>80000</v>
      </c>
      <c r="D109" s="92">
        <v>0</v>
      </c>
      <c r="E109" s="92">
        <v>0</v>
      </c>
      <c r="F109" s="38" t="s">
        <v>717</v>
      </c>
      <c r="G109" s="241"/>
      <c r="H109" s="38"/>
      <c r="I109" s="38"/>
      <c r="J109" s="92">
        <v>80000</v>
      </c>
      <c r="K109" s="92"/>
      <c r="L109" s="92">
        <v>0</v>
      </c>
      <c r="M109" s="92"/>
      <c r="N109" s="92"/>
      <c r="O109" s="92">
        <v>80000</v>
      </c>
    </row>
    <row r="110" spans="1:15" s="31" customFormat="1" ht="36" x14ac:dyDescent="0.2">
      <c r="A110" s="89">
        <v>3202</v>
      </c>
      <c r="B110" s="255" t="s">
        <v>718</v>
      </c>
      <c r="C110" s="92">
        <v>2600000</v>
      </c>
      <c r="D110" s="92">
        <v>1603880</v>
      </c>
      <c r="E110" s="250">
        <v>619351</v>
      </c>
      <c r="F110" s="38" t="s">
        <v>719</v>
      </c>
      <c r="G110" s="241">
        <v>308515.75</v>
      </c>
      <c r="H110" s="261" t="s">
        <v>720</v>
      </c>
      <c r="I110" s="38"/>
      <c r="J110" s="92">
        <v>0</v>
      </c>
      <c r="K110" s="92"/>
      <c r="L110" s="92">
        <f>100000+33998+50000+100000+40300+153000+32000+52490</f>
        <v>561788</v>
      </c>
      <c r="M110" s="92"/>
      <c r="N110" s="92"/>
      <c r="O110" s="92">
        <v>0</v>
      </c>
    </row>
    <row r="111" spans="1:15" s="31" customFormat="1" ht="12.75" customHeight="1" x14ac:dyDescent="0.2">
      <c r="A111" s="49">
        <v>3299</v>
      </c>
      <c r="B111" s="50" t="s">
        <v>721</v>
      </c>
      <c r="C111" s="53">
        <f>C109+C110</f>
        <v>2680000</v>
      </c>
      <c r="D111" s="53">
        <f>D109+D110</f>
        <v>1603880</v>
      </c>
      <c r="E111" s="53">
        <f>E109+E110</f>
        <v>619351</v>
      </c>
      <c r="F111" s="53"/>
      <c r="G111" s="243">
        <f>G109+G110</f>
        <v>308515.75</v>
      </c>
      <c r="H111" s="53"/>
      <c r="I111" s="53"/>
      <c r="J111" s="53">
        <f>J109+J110</f>
        <v>80000</v>
      </c>
      <c r="K111" s="53">
        <f t="shared" ref="K111:L111" si="11">K109+K110</f>
        <v>0</v>
      </c>
      <c r="L111" s="53">
        <f t="shared" si="11"/>
        <v>561788</v>
      </c>
      <c r="M111" s="53"/>
      <c r="N111" s="53"/>
      <c r="O111" s="53">
        <f>O109+O110</f>
        <v>80000</v>
      </c>
    </row>
    <row r="112" spans="1:15" s="31" customFormat="1" ht="12.75" customHeight="1" x14ac:dyDescent="0.2">
      <c r="A112" s="49"/>
      <c r="B112" s="50"/>
      <c r="C112" s="53"/>
      <c r="D112" s="53"/>
      <c r="E112" s="53"/>
      <c r="F112" s="53"/>
      <c r="G112" s="243"/>
      <c r="H112" s="53"/>
      <c r="I112" s="53"/>
      <c r="J112" s="53"/>
      <c r="K112" s="53"/>
      <c r="L112" s="53"/>
      <c r="M112" s="53"/>
      <c r="N112" s="53"/>
      <c r="O112" s="53"/>
    </row>
    <row r="113" spans="1:15" s="31" customFormat="1" x14ac:dyDescent="0.2">
      <c r="A113" s="49">
        <v>3300</v>
      </c>
      <c r="B113" s="50" t="s">
        <v>722</v>
      </c>
      <c r="C113" s="53"/>
      <c r="D113" s="53"/>
      <c r="E113" s="53"/>
      <c r="F113" s="53"/>
      <c r="G113" s="243"/>
      <c r="H113" s="53"/>
      <c r="I113" s="53"/>
      <c r="J113" s="53"/>
      <c r="K113" s="53"/>
      <c r="L113" s="53"/>
      <c r="M113" s="53"/>
      <c r="N113" s="53"/>
      <c r="O113" s="53"/>
    </row>
    <row r="114" spans="1:15" ht="24" x14ac:dyDescent="0.2">
      <c r="A114" s="39">
        <v>3301</v>
      </c>
      <c r="B114" s="43" t="s">
        <v>723</v>
      </c>
      <c r="C114" s="38">
        <v>0</v>
      </c>
      <c r="D114" s="38">
        <v>51291</v>
      </c>
      <c r="E114" s="38">
        <v>0</v>
      </c>
      <c r="F114" s="38" t="s">
        <v>724</v>
      </c>
      <c r="G114" s="241">
        <v>20306.400000000001</v>
      </c>
      <c r="H114" s="261" t="s">
        <v>725</v>
      </c>
      <c r="I114" s="38"/>
      <c r="J114" s="38">
        <v>0</v>
      </c>
      <c r="K114" s="38"/>
      <c r="L114" s="250">
        <v>0</v>
      </c>
      <c r="M114" s="38"/>
      <c r="N114" s="38"/>
      <c r="O114" s="38">
        <v>1000000</v>
      </c>
    </row>
    <row r="115" spans="1:15" ht="24" x14ac:dyDescent="0.2">
      <c r="A115" s="39">
        <v>3302</v>
      </c>
      <c r="B115" s="259" t="s">
        <v>726</v>
      </c>
      <c r="C115" s="38">
        <v>0</v>
      </c>
      <c r="D115" s="38">
        <v>67867</v>
      </c>
      <c r="E115" s="250">
        <v>59022.53</v>
      </c>
      <c r="F115" s="38" t="s">
        <v>727</v>
      </c>
      <c r="G115" s="241">
        <v>64114</v>
      </c>
      <c r="H115" s="38" t="s">
        <v>728</v>
      </c>
      <c r="I115" s="38"/>
      <c r="J115" s="38"/>
      <c r="K115" s="38"/>
      <c r="L115" s="38">
        <v>0</v>
      </c>
      <c r="M115" s="38"/>
      <c r="N115" s="38"/>
      <c r="O115" s="38"/>
    </row>
    <row r="116" spans="1:15" x14ac:dyDescent="0.2">
      <c r="A116" s="39">
        <v>3302</v>
      </c>
      <c r="B116" s="259" t="s">
        <v>729</v>
      </c>
      <c r="C116" s="38">
        <v>0</v>
      </c>
      <c r="D116" s="38">
        <v>0</v>
      </c>
      <c r="E116" s="250">
        <v>0</v>
      </c>
      <c r="F116" s="38" t="s">
        <v>730</v>
      </c>
      <c r="G116" s="241">
        <v>0</v>
      </c>
      <c r="H116" s="38"/>
      <c r="I116" s="38"/>
      <c r="J116" s="38">
        <v>0</v>
      </c>
      <c r="K116" s="38">
        <v>45198</v>
      </c>
      <c r="L116" s="38">
        <v>0</v>
      </c>
      <c r="M116" s="38" t="s">
        <v>731</v>
      </c>
      <c r="N116" s="38"/>
      <c r="O116" s="38"/>
    </row>
    <row r="117" spans="1:15" x14ac:dyDescent="0.2">
      <c r="A117" s="39">
        <v>3302</v>
      </c>
      <c r="B117" s="259" t="s">
        <v>732</v>
      </c>
      <c r="C117" s="38">
        <v>0</v>
      </c>
      <c r="D117" s="38">
        <v>0</v>
      </c>
      <c r="E117" s="250">
        <v>0</v>
      </c>
      <c r="F117" s="38" t="s">
        <v>733</v>
      </c>
      <c r="G117" s="241">
        <v>0</v>
      </c>
      <c r="H117" s="38">
        <v>0</v>
      </c>
      <c r="I117" s="38"/>
      <c r="J117" s="38">
        <v>0</v>
      </c>
      <c r="K117" s="38">
        <v>46475</v>
      </c>
      <c r="L117" s="38">
        <v>0</v>
      </c>
      <c r="M117" s="38" t="s">
        <v>734</v>
      </c>
      <c r="N117" s="38"/>
      <c r="O117" s="38"/>
    </row>
    <row r="118" spans="1:15" x14ac:dyDescent="0.2">
      <c r="A118" s="39">
        <v>3303</v>
      </c>
      <c r="B118" s="231" t="s">
        <v>735</v>
      </c>
      <c r="C118" s="38">
        <v>0</v>
      </c>
      <c r="D118" s="38">
        <v>21156</v>
      </c>
      <c r="E118" s="250">
        <v>21142</v>
      </c>
      <c r="F118" s="38" t="s">
        <v>736</v>
      </c>
      <c r="G118" s="241"/>
      <c r="H118" s="38"/>
      <c r="I118" s="38"/>
      <c r="J118" s="38"/>
      <c r="K118" s="38"/>
      <c r="L118" s="38">
        <v>0</v>
      </c>
      <c r="M118" s="38"/>
      <c r="N118" s="38"/>
      <c r="O118" s="38"/>
    </row>
    <row r="119" spans="1:15" x14ac:dyDescent="0.2">
      <c r="A119" s="39">
        <v>3304</v>
      </c>
      <c r="B119" s="231" t="s">
        <v>737</v>
      </c>
      <c r="C119" s="38">
        <v>0</v>
      </c>
      <c r="D119" s="38">
        <v>88496</v>
      </c>
      <c r="E119" s="250">
        <v>68000</v>
      </c>
      <c r="F119" s="38" t="s">
        <v>738</v>
      </c>
      <c r="G119" s="241">
        <v>100000</v>
      </c>
      <c r="H119" s="38" t="s">
        <v>739</v>
      </c>
      <c r="I119" s="38"/>
      <c r="J119" s="38"/>
      <c r="K119" s="38"/>
      <c r="L119" s="38">
        <v>-25842</v>
      </c>
      <c r="M119" s="38"/>
      <c r="N119" s="38"/>
      <c r="O119" s="38"/>
    </row>
    <row r="120" spans="1:15" x14ac:dyDescent="0.2">
      <c r="A120" s="39">
        <v>3305</v>
      </c>
      <c r="B120" s="231" t="s">
        <v>740</v>
      </c>
      <c r="C120" s="38">
        <v>0</v>
      </c>
      <c r="D120" s="38">
        <v>36321</v>
      </c>
      <c r="E120" s="38">
        <v>0</v>
      </c>
      <c r="F120" s="38" t="s">
        <v>741</v>
      </c>
      <c r="G120" s="241"/>
      <c r="H120" s="38"/>
      <c r="I120" s="38"/>
      <c r="J120" s="38"/>
      <c r="K120" s="38"/>
      <c r="L120" s="38">
        <v>0</v>
      </c>
      <c r="M120" s="38"/>
      <c r="N120" s="38"/>
      <c r="O120" s="38"/>
    </row>
    <row r="121" spans="1:15" x14ac:dyDescent="0.2">
      <c r="A121" s="39">
        <v>3306</v>
      </c>
      <c r="B121" s="231" t="s">
        <v>742</v>
      </c>
      <c r="C121" s="38">
        <v>0</v>
      </c>
      <c r="D121" s="38">
        <v>10199</v>
      </c>
      <c r="E121" s="250">
        <v>592.19000000000005</v>
      </c>
      <c r="F121" s="38" t="s">
        <v>743</v>
      </c>
      <c r="G121" s="241"/>
      <c r="H121" s="38"/>
      <c r="I121" s="38"/>
      <c r="J121" s="38"/>
      <c r="K121" s="38"/>
      <c r="L121" s="38">
        <v>9599</v>
      </c>
      <c r="M121" s="38"/>
      <c r="N121" s="38"/>
      <c r="O121" s="38"/>
    </row>
    <row r="122" spans="1:15" x14ac:dyDescent="0.2">
      <c r="A122" s="39">
        <v>3307</v>
      </c>
      <c r="B122" s="231" t="s">
        <v>744</v>
      </c>
      <c r="C122" s="38">
        <v>0</v>
      </c>
      <c r="D122" s="38">
        <v>3455</v>
      </c>
      <c r="E122" s="38">
        <v>0</v>
      </c>
      <c r="F122" s="38" t="s">
        <v>745</v>
      </c>
      <c r="G122" s="241"/>
      <c r="H122" s="38"/>
      <c r="I122" s="38"/>
      <c r="J122" s="38"/>
      <c r="K122" s="38"/>
      <c r="L122" s="250">
        <v>0</v>
      </c>
      <c r="M122" s="38"/>
      <c r="N122" s="38"/>
      <c r="O122" s="38"/>
    </row>
    <row r="123" spans="1:15" x14ac:dyDescent="0.2">
      <c r="A123" s="39">
        <v>3308</v>
      </c>
      <c r="B123" s="231" t="s">
        <v>746</v>
      </c>
      <c r="C123" s="38">
        <v>0</v>
      </c>
      <c r="D123" s="38">
        <v>70187</v>
      </c>
      <c r="E123" s="250">
        <v>4555.47</v>
      </c>
      <c r="F123" s="38" t="s">
        <v>747</v>
      </c>
      <c r="G123" s="241">
        <v>79311</v>
      </c>
      <c r="H123" s="38" t="s">
        <v>748</v>
      </c>
      <c r="I123" s="38"/>
      <c r="J123" s="38"/>
      <c r="K123" s="38"/>
      <c r="L123" s="38">
        <v>45534</v>
      </c>
      <c r="M123" s="38"/>
      <c r="N123" s="38"/>
      <c r="O123" s="38"/>
    </row>
    <row r="124" spans="1:15" x14ac:dyDescent="0.2">
      <c r="A124" s="39">
        <v>3309</v>
      </c>
      <c r="B124" s="231" t="s">
        <v>749</v>
      </c>
      <c r="C124" s="38">
        <v>0</v>
      </c>
      <c r="D124" s="38">
        <v>70188</v>
      </c>
      <c r="E124" s="250">
        <v>0</v>
      </c>
      <c r="F124" s="38" t="s">
        <v>750</v>
      </c>
      <c r="G124" s="241">
        <v>79313</v>
      </c>
      <c r="H124" s="38" t="s">
        <v>751</v>
      </c>
      <c r="I124" s="38"/>
      <c r="J124" s="38"/>
      <c r="K124" s="38"/>
      <c r="L124" s="38">
        <v>39995</v>
      </c>
      <c r="M124" s="38"/>
      <c r="N124" s="38"/>
      <c r="O124" s="38"/>
    </row>
    <row r="125" spans="1:15" ht="24" x14ac:dyDescent="0.2">
      <c r="A125" s="39">
        <v>3310</v>
      </c>
      <c r="B125" s="259" t="s">
        <v>752</v>
      </c>
      <c r="C125" s="38">
        <v>0</v>
      </c>
      <c r="D125" s="38">
        <v>44248</v>
      </c>
      <c r="E125" s="250">
        <v>1620</v>
      </c>
      <c r="F125" s="38" t="s">
        <v>753</v>
      </c>
      <c r="G125" s="241">
        <v>50000</v>
      </c>
      <c r="H125" s="38" t="s">
        <v>754</v>
      </c>
      <c r="I125" s="38"/>
      <c r="J125" s="38"/>
      <c r="K125" s="38"/>
      <c r="L125" s="38">
        <v>50529</v>
      </c>
      <c r="M125" s="38"/>
      <c r="N125" s="38"/>
      <c r="O125" s="38"/>
    </row>
    <row r="126" spans="1:15" s="31" customFormat="1" x14ac:dyDescent="0.2">
      <c r="A126" s="49">
        <v>3399</v>
      </c>
      <c r="B126" s="50" t="s">
        <v>755</v>
      </c>
      <c r="C126" s="52">
        <f>SUM(C114:C114)</f>
        <v>0</v>
      </c>
      <c r="D126" s="52">
        <f>SUM(D114:D125)</f>
        <v>463408</v>
      </c>
      <c r="E126" s="52">
        <f>SUM(E114:E125)</f>
        <v>154932.19</v>
      </c>
      <c r="F126" s="52"/>
      <c r="G126" s="244">
        <f t="shared" ref="G126" si="12">SUM(G114:G125)</f>
        <v>393044.4</v>
      </c>
      <c r="H126" s="52"/>
      <c r="I126" s="52"/>
      <c r="J126" s="52">
        <f>SUM(J114:J125)</f>
        <v>0</v>
      </c>
      <c r="K126" s="52">
        <f t="shared" ref="K126:L126" si="13">SUM(K114:K125)</f>
        <v>91673</v>
      </c>
      <c r="L126" s="52">
        <f t="shared" si="13"/>
        <v>119815</v>
      </c>
      <c r="M126" s="52"/>
      <c r="N126" s="52"/>
      <c r="O126" s="52">
        <f>SUM(O114:O114)</f>
        <v>1000000</v>
      </c>
    </row>
    <row r="127" spans="1:15" x14ac:dyDescent="0.2">
      <c r="A127" s="49">
        <v>30</v>
      </c>
      <c r="B127" s="36" t="s">
        <v>756</v>
      </c>
      <c r="C127" s="46">
        <f>C111+C126</f>
        <v>2680000</v>
      </c>
      <c r="D127" s="46">
        <f t="shared" ref="D127:E127" si="14">D111+D126</f>
        <v>2067288</v>
      </c>
      <c r="E127" s="46">
        <f t="shared" si="14"/>
        <v>774283.19</v>
      </c>
      <c r="F127" s="46"/>
      <c r="G127" s="240">
        <f t="shared" ref="G127" si="15">G111+G126</f>
        <v>701560.15</v>
      </c>
      <c r="H127" s="46"/>
      <c r="I127" s="46"/>
      <c r="J127" s="46">
        <f>J111+J126</f>
        <v>80000</v>
      </c>
      <c r="K127" s="46">
        <f t="shared" ref="K127:L127" si="16">K111+K126</f>
        <v>91673</v>
      </c>
      <c r="L127" s="46">
        <f t="shared" si="16"/>
        <v>681603</v>
      </c>
      <c r="M127" s="46"/>
      <c r="N127" s="46"/>
      <c r="O127" s="46">
        <f>O111+O126</f>
        <v>1080000</v>
      </c>
    </row>
    <row r="128" spans="1:15" x14ac:dyDescent="0.2">
      <c r="A128" s="49"/>
      <c r="B128" s="36"/>
      <c r="C128" s="46"/>
      <c r="D128" s="46"/>
      <c r="E128" s="46"/>
      <c r="F128" s="46"/>
      <c r="G128" s="240"/>
      <c r="H128" s="46"/>
      <c r="I128" s="46"/>
      <c r="J128" s="46"/>
      <c r="K128" s="46"/>
      <c r="L128" s="46"/>
      <c r="M128" s="46"/>
      <c r="N128" s="46"/>
      <c r="O128" s="46"/>
    </row>
    <row r="129" spans="1:15" x14ac:dyDescent="0.2">
      <c r="A129" s="49">
        <v>40</v>
      </c>
      <c r="B129" s="50" t="s">
        <v>757</v>
      </c>
      <c r="C129" s="46"/>
      <c r="D129" s="46"/>
      <c r="E129" s="46"/>
      <c r="F129" s="46"/>
      <c r="G129" s="240"/>
      <c r="H129" s="46"/>
      <c r="I129" s="46"/>
      <c r="J129" s="46"/>
      <c r="K129" s="46"/>
      <c r="L129" s="46"/>
      <c r="M129" s="46"/>
      <c r="N129" s="46"/>
      <c r="O129" s="46"/>
    </row>
    <row r="130" spans="1:15" x14ac:dyDescent="0.2">
      <c r="A130" s="49">
        <v>4200</v>
      </c>
      <c r="B130" s="50" t="s">
        <v>758</v>
      </c>
      <c r="C130" s="46"/>
      <c r="D130" s="46"/>
      <c r="E130" s="46"/>
      <c r="F130" s="46"/>
      <c r="G130" s="240"/>
      <c r="H130" s="46"/>
      <c r="I130" s="46"/>
      <c r="J130" s="46"/>
      <c r="K130" s="46"/>
      <c r="L130" s="46"/>
      <c r="M130" s="46"/>
      <c r="N130" s="46"/>
      <c r="O130" s="46"/>
    </row>
    <row r="131" spans="1:15" x14ac:dyDescent="0.2">
      <c r="A131" s="39">
        <v>4201</v>
      </c>
      <c r="B131" s="42" t="s">
        <v>759</v>
      </c>
      <c r="C131" s="143">
        <v>40000</v>
      </c>
      <c r="D131" s="143">
        <v>0</v>
      </c>
      <c r="E131" s="143">
        <v>0</v>
      </c>
      <c r="F131" s="54" t="s">
        <v>760</v>
      </c>
      <c r="G131" s="245"/>
      <c r="H131" s="54"/>
      <c r="I131" s="54"/>
      <c r="J131" s="143"/>
      <c r="K131" s="143"/>
      <c r="L131" s="143">
        <v>0</v>
      </c>
      <c r="M131" s="143"/>
      <c r="N131" s="143"/>
      <c r="O131" s="143"/>
    </row>
    <row r="132" spans="1:15" x14ac:dyDescent="0.2">
      <c r="A132" s="49">
        <v>4299</v>
      </c>
      <c r="B132" s="50" t="s">
        <v>761</v>
      </c>
      <c r="C132" s="46">
        <f>C131</f>
        <v>40000</v>
      </c>
      <c r="D132" s="46">
        <f t="shared" ref="D132:E132" si="17">D131</f>
        <v>0</v>
      </c>
      <c r="E132" s="46">
        <f t="shared" si="17"/>
        <v>0</v>
      </c>
      <c r="F132" s="46"/>
      <c r="G132" s="240"/>
      <c r="H132" s="46"/>
      <c r="I132" s="46"/>
      <c r="J132" s="46">
        <f>J131</f>
        <v>0</v>
      </c>
      <c r="K132" s="46">
        <f t="shared" ref="K132:L132" si="18">K131</f>
        <v>0</v>
      </c>
      <c r="L132" s="46">
        <f t="shared" si="18"/>
        <v>0</v>
      </c>
      <c r="M132" s="46"/>
      <c r="N132" s="46"/>
      <c r="O132" s="46">
        <f>O131</f>
        <v>0</v>
      </c>
    </row>
    <row r="133" spans="1:15" x14ac:dyDescent="0.2">
      <c r="A133" s="49"/>
      <c r="B133" s="50"/>
      <c r="C133" s="46"/>
      <c r="D133" s="46"/>
      <c r="E133" s="46"/>
      <c r="F133" s="46"/>
      <c r="G133" s="240"/>
      <c r="H133" s="46"/>
      <c r="I133" s="46"/>
      <c r="J133" s="46"/>
      <c r="K133" s="46"/>
      <c r="L133" s="46"/>
      <c r="M133" s="46"/>
      <c r="N133" s="46"/>
      <c r="O133" s="46"/>
    </row>
    <row r="134" spans="1:15" x14ac:dyDescent="0.2">
      <c r="A134" s="49">
        <v>50</v>
      </c>
      <c r="B134" s="50" t="s">
        <v>762</v>
      </c>
      <c r="C134" s="46"/>
      <c r="D134" s="46"/>
      <c r="E134" s="46"/>
      <c r="F134" s="46"/>
      <c r="G134" s="240"/>
      <c r="H134" s="46"/>
      <c r="I134" s="46"/>
      <c r="J134" s="46"/>
      <c r="K134" s="46"/>
      <c r="L134" s="46"/>
      <c r="M134" s="46"/>
      <c r="N134" s="46"/>
      <c r="O134" s="46"/>
    </row>
    <row r="135" spans="1:15" x14ac:dyDescent="0.2">
      <c r="A135" s="49">
        <v>5200</v>
      </c>
      <c r="B135" s="50" t="s">
        <v>763</v>
      </c>
      <c r="C135" s="46"/>
      <c r="D135" s="46"/>
      <c r="E135" s="46"/>
      <c r="F135" s="46"/>
      <c r="G135" s="240"/>
      <c r="H135" s="46"/>
      <c r="I135" s="46"/>
      <c r="J135" s="46"/>
      <c r="K135" s="46"/>
      <c r="L135" s="46"/>
      <c r="M135" s="46"/>
      <c r="N135" s="46"/>
      <c r="O135" s="46"/>
    </row>
    <row r="136" spans="1:15" x14ac:dyDescent="0.2">
      <c r="A136" s="39">
        <v>5201</v>
      </c>
      <c r="B136" s="57" t="s">
        <v>764</v>
      </c>
      <c r="C136" s="143">
        <v>30000</v>
      </c>
      <c r="D136" s="143">
        <v>0</v>
      </c>
      <c r="E136" s="143">
        <v>0</v>
      </c>
      <c r="F136" s="54" t="s">
        <v>765</v>
      </c>
      <c r="G136" s="264"/>
      <c r="H136" s="143"/>
      <c r="I136" s="143"/>
      <c r="J136" s="143">
        <v>30000</v>
      </c>
      <c r="K136" s="143"/>
      <c r="L136" s="143">
        <v>0</v>
      </c>
      <c r="M136" s="143"/>
      <c r="N136" s="143"/>
      <c r="O136" s="143">
        <v>30000</v>
      </c>
    </row>
    <row r="137" spans="1:15" x14ac:dyDescent="0.2">
      <c r="A137" s="39">
        <v>5201</v>
      </c>
      <c r="B137" s="57" t="s">
        <v>766</v>
      </c>
      <c r="C137" s="143">
        <v>0</v>
      </c>
      <c r="D137" s="143">
        <v>11822</v>
      </c>
      <c r="E137" s="143">
        <v>0</v>
      </c>
      <c r="F137" s="54" t="s">
        <v>767</v>
      </c>
      <c r="G137" s="264"/>
      <c r="H137" s="143"/>
      <c r="I137" s="143"/>
      <c r="J137" s="143"/>
      <c r="K137" s="143"/>
      <c r="L137" s="143">
        <v>0</v>
      </c>
      <c r="M137" s="143"/>
      <c r="N137" s="143"/>
      <c r="O137" s="143"/>
    </row>
    <row r="138" spans="1:15" x14ac:dyDescent="0.2">
      <c r="A138" s="39">
        <v>5202</v>
      </c>
      <c r="B138" s="42" t="s">
        <v>768</v>
      </c>
      <c r="C138" s="143">
        <v>40000</v>
      </c>
      <c r="D138" s="143">
        <v>2067</v>
      </c>
      <c r="E138" s="143">
        <v>0</v>
      </c>
      <c r="F138" s="54" t="s">
        <v>769</v>
      </c>
      <c r="G138" s="264"/>
      <c r="H138" s="143"/>
      <c r="I138" s="143"/>
      <c r="J138" s="143">
        <v>40000</v>
      </c>
      <c r="K138" s="143"/>
      <c r="L138" s="143">
        <v>0</v>
      </c>
      <c r="M138" s="143"/>
      <c r="N138" s="143"/>
      <c r="O138" s="143">
        <v>40000</v>
      </c>
    </row>
    <row r="139" spans="1:15" x14ac:dyDescent="0.2">
      <c r="A139" s="39">
        <v>5202</v>
      </c>
      <c r="B139" s="42" t="s">
        <v>770</v>
      </c>
      <c r="C139" s="143">
        <v>0</v>
      </c>
      <c r="D139" s="143">
        <v>0</v>
      </c>
      <c r="E139" s="143">
        <v>0</v>
      </c>
      <c r="F139" s="54" t="s">
        <v>771</v>
      </c>
      <c r="G139" s="264">
        <v>2336.2399999999998</v>
      </c>
      <c r="H139" s="54" t="s">
        <v>772</v>
      </c>
      <c r="I139" s="143"/>
      <c r="J139" s="143"/>
      <c r="K139" s="143"/>
      <c r="L139" s="143">
        <v>0</v>
      </c>
      <c r="M139" s="143"/>
      <c r="N139" s="143"/>
      <c r="O139" s="143"/>
    </row>
    <row r="140" spans="1:15" x14ac:dyDescent="0.2">
      <c r="A140" s="39">
        <v>5203</v>
      </c>
      <c r="B140" s="42" t="s">
        <v>773</v>
      </c>
      <c r="C140" s="143">
        <v>0</v>
      </c>
      <c r="D140" s="143">
        <v>44248</v>
      </c>
      <c r="E140" s="273">
        <v>-114.32</v>
      </c>
      <c r="F140" s="54" t="s">
        <v>774</v>
      </c>
      <c r="G140" s="264">
        <v>50000</v>
      </c>
      <c r="H140" s="54" t="s">
        <v>775</v>
      </c>
      <c r="I140" s="143"/>
      <c r="J140" s="143"/>
      <c r="K140" s="143"/>
      <c r="L140" s="143">
        <v>7773.25</v>
      </c>
      <c r="M140" s="143"/>
      <c r="N140" s="143"/>
      <c r="O140" s="143"/>
    </row>
    <row r="141" spans="1:15" x14ac:dyDescent="0.2">
      <c r="A141" s="39">
        <v>5204</v>
      </c>
      <c r="B141" s="42" t="s">
        <v>776</v>
      </c>
      <c r="C141" s="143">
        <v>0</v>
      </c>
      <c r="D141" s="143">
        <v>193400</v>
      </c>
      <c r="E141" s="273">
        <v>-33717</v>
      </c>
      <c r="F141" s="54" t="s">
        <v>777</v>
      </c>
      <c r="G141" s="264"/>
      <c r="H141" s="143"/>
      <c r="I141" s="143"/>
      <c r="J141" s="143"/>
      <c r="K141" s="143"/>
      <c r="L141" s="143">
        <v>-9583</v>
      </c>
      <c r="M141" s="143"/>
      <c r="N141" s="143"/>
      <c r="O141" s="143"/>
    </row>
    <row r="142" spans="1:15" ht="24" x14ac:dyDescent="0.2">
      <c r="A142" s="39">
        <v>5205</v>
      </c>
      <c r="B142" s="42" t="s">
        <v>778</v>
      </c>
      <c r="C142" s="143">
        <v>0</v>
      </c>
      <c r="D142" s="143">
        <v>7800</v>
      </c>
      <c r="E142" s="273">
        <v>7756.57</v>
      </c>
      <c r="F142" s="54" t="s">
        <v>779</v>
      </c>
      <c r="G142" s="264">
        <v>30550</v>
      </c>
      <c r="H142" s="254" t="s">
        <v>780</v>
      </c>
      <c r="I142" s="143"/>
      <c r="J142" s="143"/>
      <c r="K142" s="143"/>
      <c r="L142" s="143">
        <v>0</v>
      </c>
      <c r="M142" s="143"/>
      <c r="N142" s="143"/>
      <c r="O142" s="143"/>
    </row>
    <row r="143" spans="1:15" x14ac:dyDescent="0.2">
      <c r="A143" s="39">
        <v>5206</v>
      </c>
      <c r="B143" s="42" t="s">
        <v>781</v>
      </c>
      <c r="C143" s="143">
        <v>0</v>
      </c>
      <c r="D143" s="143">
        <v>15000</v>
      </c>
      <c r="E143" s="273">
        <v>15000</v>
      </c>
      <c r="F143" s="54" t="s">
        <v>782</v>
      </c>
      <c r="G143" s="264"/>
      <c r="H143" s="143"/>
      <c r="I143" s="143"/>
      <c r="J143" s="143"/>
      <c r="K143" s="143"/>
      <c r="L143" s="143">
        <v>0</v>
      </c>
      <c r="M143" s="143"/>
      <c r="N143" s="143"/>
      <c r="O143" s="143"/>
    </row>
    <row r="144" spans="1:15" x14ac:dyDescent="0.2">
      <c r="A144" s="39">
        <v>5207</v>
      </c>
      <c r="B144" s="42" t="s">
        <v>783</v>
      </c>
      <c r="C144" s="143">
        <v>0</v>
      </c>
      <c r="D144" s="143">
        <v>15000</v>
      </c>
      <c r="E144" s="273">
        <v>15000</v>
      </c>
      <c r="F144" s="54" t="s">
        <v>784</v>
      </c>
      <c r="G144" s="264"/>
      <c r="H144" s="143"/>
      <c r="I144" s="143"/>
      <c r="J144" s="143"/>
      <c r="K144" s="143"/>
      <c r="L144" s="143">
        <v>0</v>
      </c>
      <c r="M144" s="143"/>
      <c r="N144" s="143"/>
      <c r="O144" s="143"/>
    </row>
    <row r="145" spans="1:15" x14ac:dyDescent="0.2">
      <c r="A145" s="39">
        <v>5208</v>
      </c>
      <c r="B145" s="42" t="s">
        <v>785</v>
      </c>
      <c r="C145" s="143">
        <v>0</v>
      </c>
      <c r="D145" s="143">
        <v>8850</v>
      </c>
      <c r="E145" s="143">
        <v>0</v>
      </c>
      <c r="F145" s="54" t="s">
        <v>786</v>
      </c>
      <c r="G145" s="264">
        <v>10000</v>
      </c>
      <c r="H145" s="54" t="s">
        <v>787</v>
      </c>
      <c r="I145" s="143"/>
      <c r="J145" s="143"/>
      <c r="K145" s="143"/>
      <c r="L145" s="143">
        <v>0</v>
      </c>
      <c r="M145" s="143"/>
      <c r="N145" s="143"/>
      <c r="O145" s="143"/>
    </row>
    <row r="146" spans="1:15" x14ac:dyDescent="0.2">
      <c r="A146" s="39">
        <v>5209</v>
      </c>
      <c r="B146" s="42" t="s">
        <v>788</v>
      </c>
      <c r="C146" s="143">
        <v>0</v>
      </c>
      <c r="D146" s="143">
        <v>0</v>
      </c>
      <c r="E146" s="143">
        <v>0</v>
      </c>
      <c r="F146" s="54" t="s">
        <v>789</v>
      </c>
      <c r="G146" s="264">
        <v>0</v>
      </c>
      <c r="H146" s="54"/>
      <c r="I146" s="143"/>
      <c r="J146" s="143">
        <v>0</v>
      </c>
      <c r="K146" s="143">
        <v>149767.85999999999</v>
      </c>
      <c r="L146" s="143">
        <v>0</v>
      </c>
      <c r="M146" s="54" t="s">
        <v>790</v>
      </c>
      <c r="N146" s="143"/>
      <c r="O146" s="143"/>
    </row>
    <row r="147" spans="1:15" s="31" customFormat="1" x14ac:dyDescent="0.2">
      <c r="A147" s="49">
        <v>5299</v>
      </c>
      <c r="B147" s="102" t="s">
        <v>791</v>
      </c>
      <c r="C147" s="52">
        <f>SUM(C136:C146)</f>
        <v>70000</v>
      </c>
      <c r="D147" s="52">
        <f>SUM(D136:D146)</f>
        <v>298187</v>
      </c>
      <c r="E147" s="52">
        <f>SUM(E136:E146)</f>
        <v>3925.25</v>
      </c>
      <c r="F147" s="52"/>
      <c r="G147" s="244">
        <f t="shared" ref="G147" si="19">SUM(G136:G145)</f>
        <v>92886.239999999991</v>
      </c>
      <c r="H147" s="52"/>
      <c r="I147" s="52"/>
      <c r="J147" s="52">
        <f>SUM(J136:J146)</f>
        <v>70000</v>
      </c>
      <c r="K147" s="52">
        <f t="shared" ref="K147:L147" si="20">SUM(K136:K146)</f>
        <v>149767.85999999999</v>
      </c>
      <c r="L147" s="52">
        <f t="shared" si="20"/>
        <v>-1809.75</v>
      </c>
      <c r="M147" s="52"/>
      <c r="N147" s="52"/>
      <c r="O147" s="52">
        <f>O136+O138</f>
        <v>70000</v>
      </c>
    </row>
    <row r="148" spans="1:15" s="31" customFormat="1" x14ac:dyDescent="0.2">
      <c r="A148" s="49"/>
      <c r="B148" s="102"/>
      <c r="C148" s="52"/>
      <c r="D148" s="52"/>
      <c r="E148" s="52"/>
      <c r="F148" s="52"/>
      <c r="G148" s="244"/>
      <c r="H148" s="52"/>
      <c r="I148" s="52"/>
      <c r="J148" s="52"/>
      <c r="K148" s="52"/>
      <c r="L148" s="52"/>
      <c r="M148" s="52"/>
      <c r="N148" s="52"/>
      <c r="O148" s="52"/>
    </row>
    <row r="149" spans="1:15" s="31" customFormat="1" x14ac:dyDescent="0.2">
      <c r="A149" s="49">
        <v>5300</v>
      </c>
      <c r="B149" s="50" t="s">
        <v>792</v>
      </c>
      <c r="C149" s="52"/>
      <c r="D149" s="52"/>
      <c r="E149" s="52"/>
      <c r="F149" s="52"/>
      <c r="G149" s="244"/>
      <c r="H149" s="52"/>
      <c r="I149" s="52"/>
      <c r="J149" s="52"/>
      <c r="K149" s="52"/>
      <c r="L149" s="52"/>
      <c r="M149" s="52"/>
      <c r="N149" s="52"/>
      <c r="O149" s="52"/>
    </row>
    <row r="150" spans="1:15" s="31" customFormat="1" x14ac:dyDescent="0.2">
      <c r="A150" s="39">
        <v>5301</v>
      </c>
      <c r="B150" s="231" t="s">
        <v>793</v>
      </c>
      <c r="C150" s="54">
        <v>0</v>
      </c>
      <c r="D150" s="54">
        <v>0</v>
      </c>
      <c r="E150" s="54">
        <v>0</v>
      </c>
      <c r="F150" s="54" t="s">
        <v>794</v>
      </c>
      <c r="G150" s="245"/>
      <c r="H150" s="54"/>
      <c r="I150" s="54"/>
      <c r="J150" s="52"/>
      <c r="K150" s="52"/>
      <c r="L150" s="54">
        <v>0</v>
      </c>
      <c r="M150" s="52"/>
      <c r="N150" s="52"/>
      <c r="O150" s="52"/>
    </row>
    <row r="151" spans="1:15" s="31" customFormat="1" x14ac:dyDescent="0.2">
      <c r="A151" s="39">
        <v>5302</v>
      </c>
      <c r="B151" s="231" t="s">
        <v>795</v>
      </c>
      <c r="C151" s="54">
        <v>0</v>
      </c>
      <c r="D151" s="54">
        <v>142615</v>
      </c>
      <c r="E151" s="273">
        <v>-16498</v>
      </c>
      <c r="F151" s="54" t="s">
        <v>796</v>
      </c>
      <c r="G151" s="245"/>
      <c r="H151" s="54"/>
      <c r="I151" s="54"/>
      <c r="J151" s="52"/>
      <c r="K151" s="52"/>
      <c r="L151" s="54">
        <v>0</v>
      </c>
      <c r="M151" s="52"/>
      <c r="N151" s="52"/>
      <c r="O151" s="52"/>
    </row>
    <row r="152" spans="1:15" s="31" customFormat="1" x14ac:dyDescent="0.2">
      <c r="A152" s="49">
        <v>5399</v>
      </c>
      <c r="B152" s="66" t="s">
        <v>797</v>
      </c>
      <c r="C152" s="52">
        <f>SUM(C150:C151)</f>
        <v>0</v>
      </c>
      <c r="D152" s="52">
        <f t="shared" ref="D152:E152" si="21">SUM(D150:D151)</f>
        <v>142615</v>
      </c>
      <c r="E152" s="52">
        <f t="shared" si="21"/>
        <v>-16498</v>
      </c>
      <c r="F152" s="52"/>
      <c r="G152" s="244">
        <f t="shared" ref="G152:L152" si="22">SUM(G150:G151)</f>
        <v>0</v>
      </c>
      <c r="H152" s="244"/>
      <c r="I152" s="244"/>
      <c r="J152" s="244">
        <f t="shared" si="22"/>
        <v>0</v>
      </c>
      <c r="K152" s="244">
        <f t="shared" si="22"/>
        <v>0</v>
      </c>
      <c r="L152" s="244">
        <f t="shared" si="22"/>
        <v>0</v>
      </c>
      <c r="M152" s="52"/>
      <c r="N152" s="52"/>
      <c r="O152" s="52"/>
    </row>
    <row r="153" spans="1:15" s="31" customFormat="1" x14ac:dyDescent="0.2">
      <c r="A153" s="49"/>
      <c r="B153" s="66"/>
      <c r="C153" s="52"/>
      <c r="D153" s="52"/>
      <c r="E153" s="52"/>
      <c r="F153" s="52"/>
      <c r="G153" s="244"/>
      <c r="H153" s="52"/>
      <c r="I153" s="52"/>
      <c r="J153" s="52"/>
      <c r="K153" s="52"/>
      <c r="L153" s="52"/>
      <c r="M153" s="52"/>
      <c r="N153" s="52"/>
      <c r="O153" s="52"/>
    </row>
    <row r="154" spans="1:15" s="31" customFormat="1" x14ac:dyDescent="0.2">
      <c r="A154" s="49">
        <v>5400</v>
      </c>
      <c r="B154" s="66"/>
      <c r="C154" s="52"/>
      <c r="D154" s="52"/>
      <c r="E154" s="52"/>
      <c r="F154" s="52"/>
      <c r="G154" s="244"/>
      <c r="H154" s="52"/>
      <c r="I154" s="52"/>
      <c r="J154" s="52"/>
      <c r="K154" s="52"/>
      <c r="L154" s="52"/>
      <c r="M154" s="52"/>
      <c r="N154" s="52"/>
      <c r="O154" s="52"/>
    </row>
    <row r="155" spans="1:15" s="31" customFormat="1" ht="36" customHeight="1" x14ac:dyDescent="0.2">
      <c r="A155" s="39">
        <v>5401</v>
      </c>
      <c r="B155" s="231" t="s">
        <v>798</v>
      </c>
      <c r="C155" s="54">
        <v>0</v>
      </c>
      <c r="D155" s="54">
        <v>24639</v>
      </c>
      <c r="E155" s="273">
        <v>24552</v>
      </c>
      <c r="F155" s="54" t="s">
        <v>799</v>
      </c>
      <c r="G155" s="245">
        <f>3808.99+6470.61+3386</f>
        <v>13665.599999999999</v>
      </c>
      <c r="H155" s="254" t="s">
        <v>800</v>
      </c>
      <c r="I155" s="54"/>
      <c r="J155" s="54">
        <v>0</v>
      </c>
      <c r="K155" s="54">
        <v>3517.47</v>
      </c>
      <c r="L155" s="54">
        <v>-2248</v>
      </c>
      <c r="M155" s="254" t="s">
        <v>801</v>
      </c>
      <c r="N155" s="54"/>
      <c r="O155" s="54"/>
    </row>
    <row r="156" spans="1:15" s="31" customFormat="1" x14ac:dyDescent="0.2">
      <c r="A156" s="39">
        <v>5402</v>
      </c>
      <c r="B156" s="231" t="s">
        <v>802</v>
      </c>
      <c r="C156" s="54">
        <v>0</v>
      </c>
      <c r="D156" s="54">
        <v>7825</v>
      </c>
      <c r="E156" s="273">
        <v>3812</v>
      </c>
      <c r="F156" s="54" t="s">
        <v>803</v>
      </c>
      <c r="G156" s="54"/>
      <c r="H156" s="54"/>
      <c r="I156" s="54"/>
      <c r="J156" s="54"/>
      <c r="K156" s="54"/>
      <c r="L156" s="54">
        <v>0</v>
      </c>
      <c r="M156" s="54"/>
      <c r="N156" s="54"/>
      <c r="O156" s="54"/>
    </row>
    <row r="157" spans="1:15" s="31" customFormat="1" x14ac:dyDescent="0.2">
      <c r="A157" s="49">
        <v>5499</v>
      </c>
      <c r="B157" s="99" t="s">
        <v>804</v>
      </c>
      <c r="C157" s="52">
        <f>SUM(C155:C156)</f>
        <v>0</v>
      </c>
      <c r="D157" s="52">
        <f t="shared" ref="D157:E157" si="23">SUM(D155:D156)</f>
        <v>32464</v>
      </c>
      <c r="E157" s="52">
        <f t="shared" si="23"/>
        <v>28364</v>
      </c>
      <c r="F157" s="52"/>
      <c r="G157" s="52">
        <f t="shared" ref="G157:L157" si="24">SUM(G155:G156)</f>
        <v>13665.599999999999</v>
      </c>
      <c r="H157" s="52"/>
      <c r="I157" s="52"/>
      <c r="J157" s="52">
        <f t="shared" si="24"/>
        <v>0</v>
      </c>
      <c r="K157" s="52">
        <f t="shared" si="24"/>
        <v>3517.47</v>
      </c>
      <c r="L157" s="52">
        <f t="shared" si="24"/>
        <v>-2248</v>
      </c>
      <c r="M157" s="52"/>
      <c r="N157" s="52"/>
      <c r="O157" s="52"/>
    </row>
    <row r="158" spans="1:15" s="31" customFormat="1" x14ac:dyDescent="0.2">
      <c r="A158" s="49">
        <v>50</v>
      </c>
      <c r="B158" s="99" t="s">
        <v>805</v>
      </c>
      <c r="C158" s="52">
        <f>C147+C152+C157</f>
        <v>70000</v>
      </c>
      <c r="D158" s="52">
        <f t="shared" ref="D158:E158" si="25">D147+D152+D157</f>
        <v>473266</v>
      </c>
      <c r="E158" s="52">
        <f t="shared" si="25"/>
        <v>15791.25</v>
      </c>
      <c r="F158" s="52"/>
      <c r="G158" s="52">
        <f t="shared" ref="G158:L158" si="26">G147+G152+G157</f>
        <v>106551.84</v>
      </c>
      <c r="H158" s="52"/>
      <c r="I158" s="52"/>
      <c r="J158" s="52">
        <f t="shared" si="26"/>
        <v>70000</v>
      </c>
      <c r="K158" s="52">
        <f>K147+K152+K157</f>
        <v>153285.32999999999</v>
      </c>
      <c r="L158" s="52">
        <f t="shared" si="26"/>
        <v>-4057.75</v>
      </c>
      <c r="M158" s="52"/>
      <c r="N158" s="52"/>
      <c r="O158" s="52"/>
    </row>
    <row r="159" spans="1:15" x14ac:dyDescent="0.2">
      <c r="A159" s="39"/>
      <c r="B159" s="57"/>
      <c r="C159" s="38"/>
      <c r="D159" s="38"/>
      <c r="E159" s="38"/>
      <c r="F159" s="38"/>
      <c r="G159" s="38"/>
      <c r="H159" s="38"/>
      <c r="I159" s="38"/>
      <c r="J159" s="38"/>
      <c r="K159" s="38"/>
      <c r="L159" s="38"/>
      <c r="M159" s="38"/>
      <c r="N159" s="38"/>
      <c r="O159" s="38"/>
    </row>
    <row r="160" spans="1:15" ht="12.75" customHeight="1" x14ac:dyDescent="0.2">
      <c r="A160" s="39"/>
      <c r="B160" s="45" t="s">
        <v>806</v>
      </c>
      <c r="C160" s="46">
        <f>C55+C105+C127+C132+C158</f>
        <v>7028672</v>
      </c>
      <c r="D160" s="46">
        <f>D55+D105+D127+D132+D158</f>
        <v>10844339.58</v>
      </c>
      <c r="E160" s="46">
        <f>E55+E105+E127+E132+E158</f>
        <v>3344201.1100000003</v>
      </c>
      <c r="F160" s="46"/>
      <c r="G160" s="46">
        <f>G55+G105+G127+G132+G158</f>
        <v>3608341.09</v>
      </c>
      <c r="H160" s="46"/>
      <c r="I160" s="46"/>
      <c r="J160" s="46">
        <f>J55+J105+J127+J132+J158</f>
        <v>4606218.88</v>
      </c>
      <c r="K160" s="46">
        <f t="shared" ref="K160:L160" si="27">K55+K105+K127+K132+K158</f>
        <v>409513.13</v>
      </c>
      <c r="L160" s="46">
        <f t="shared" si="27"/>
        <v>1299819.92</v>
      </c>
      <c r="M160" s="46"/>
      <c r="N160" s="46"/>
      <c r="O160" s="46">
        <f>O55+O105+O127+O132+O147</f>
        <v>5624467.6200000001</v>
      </c>
    </row>
    <row r="161" spans="1:16" ht="12.75" customHeight="1" x14ac:dyDescent="0.2">
      <c r="A161" s="39"/>
      <c r="B161" s="68" t="s">
        <v>807</v>
      </c>
      <c r="C161" s="54">
        <f>C160*0.13</f>
        <v>913727.36</v>
      </c>
      <c r="D161" s="54">
        <f>D160*0.13</f>
        <v>1409764.1454</v>
      </c>
      <c r="E161" s="54">
        <f>E160*0.13</f>
        <v>434746.14430000004</v>
      </c>
      <c r="F161" s="54"/>
      <c r="G161" s="54">
        <f>G160*0.13</f>
        <v>469084.34169999999</v>
      </c>
      <c r="H161" s="54"/>
      <c r="I161" s="54"/>
      <c r="J161" s="54">
        <f>J160*0.13</f>
        <v>598808.45440000005</v>
      </c>
      <c r="K161" s="54">
        <f t="shared" ref="K161" si="28">K160*0.13</f>
        <v>53236.706900000005</v>
      </c>
      <c r="L161" s="54">
        <f>45946.84+8887.09+39869.31+17351.03</f>
        <v>112054.26999999999</v>
      </c>
      <c r="M161" s="149"/>
      <c r="N161" s="149"/>
      <c r="O161" s="149">
        <f>O160*0.13</f>
        <v>731180.79060000007</v>
      </c>
    </row>
    <row r="162" spans="1:16" ht="12.75" customHeight="1" x14ac:dyDescent="0.2">
      <c r="A162" s="36"/>
      <c r="B162" s="36" t="s">
        <v>808</v>
      </c>
      <c r="C162" s="46">
        <f>C160+C161</f>
        <v>7942399.3600000003</v>
      </c>
      <c r="D162" s="46">
        <f>D160+D161</f>
        <v>12254103.725400001</v>
      </c>
      <c r="E162" s="46">
        <f>E160+E161</f>
        <v>3778947.2543000001</v>
      </c>
      <c r="F162" s="147"/>
      <c r="G162" s="46">
        <f>G160+G161</f>
        <v>4077425.4316999996</v>
      </c>
      <c r="H162" s="147"/>
      <c r="I162" s="147"/>
      <c r="J162" s="147">
        <f>J160+J161</f>
        <v>5205027.3344000001</v>
      </c>
      <c r="K162" s="147">
        <f t="shared" ref="K162:L162" si="29">K160+K161</f>
        <v>462749.83689999999</v>
      </c>
      <c r="L162" s="147">
        <f t="shared" si="29"/>
        <v>1411874.19</v>
      </c>
      <c r="M162" s="147"/>
      <c r="N162" s="147"/>
      <c r="O162" s="46">
        <f>O160+O161</f>
        <v>6355648.4106000001</v>
      </c>
      <c r="P162" s="148"/>
    </row>
    <row r="164" spans="1:16" x14ac:dyDescent="0.2">
      <c r="G164" s="262"/>
    </row>
    <row r="165" spans="1:16" x14ac:dyDescent="0.2">
      <c r="G165" s="263"/>
    </row>
  </sheetData>
  <mergeCells count="16">
    <mergeCell ref="L5:L6"/>
    <mergeCell ref="M5:M6"/>
    <mergeCell ref="A1:B1"/>
    <mergeCell ref="A3:O3"/>
    <mergeCell ref="A5:A6"/>
    <mergeCell ref="B5:B6"/>
    <mergeCell ref="C5:C6"/>
    <mergeCell ref="J5:J6"/>
    <mergeCell ref="O5:O6"/>
    <mergeCell ref="E5:E6"/>
    <mergeCell ref="D5:D6"/>
    <mergeCell ref="F5:F6"/>
    <mergeCell ref="G5:G6"/>
    <mergeCell ref="I5:I6"/>
    <mergeCell ref="H5:H6"/>
    <mergeCell ref="K5:K6"/>
  </mergeCells>
  <phoneticPr fontId="2" type="noConversion"/>
  <printOptions horizontalCentered="1"/>
  <pageMargins left="0" right="0" top="0.78740157480314965" bottom="0.59055118110236227" header="0.51181102362204722" footer="0.51181102362204722"/>
  <pageSetup paperSize="9" scale="85" orientation="portrait" r:id="rId1"/>
  <headerFooter alignWithMargins="0">
    <oddFooter>&amp;CResolution Conf. 16.2, Annex 3 – p. &amp;P</oddFooter>
  </headerFooter>
  <rowBreaks count="1" manualBreakCount="1">
    <brk id="127" max="16383" man="1"/>
  </row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201"/>
  <sheetViews>
    <sheetView workbookViewId="0">
      <pane ySplit="7" topLeftCell="A176" activePane="bottomLeft" state="frozen"/>
      <selection pane="bottomLeft" activeCell="G192" sqref="G192"/>
    </sheetView>
  </sheetViews>
  <sheetFormatPr defaultRowHeight="12.75" x14ac:dyDescent="0.2"/>
  <cols>
    <col min="1" max="1" width="45.7109375" style="94" customWidth="1"/>
    <col min="2" max="3" width="0" style="94" hidden="1" customWidth="1"/>
    <col min="4" max="7" width="13.7109375" style="150" customWidth="1"/>
    <col min="8" max="9" width="13.7109375" style="94" hidden="1" customWidth="1"/>
    <col min="10" max="12" width="9.140625" style="94"/>
    <col min="13" max="13" width="10.28515625" style="94" bestFit="1" customWidth="1"/>
    <col min="14" max="16384" width="9.140625" style="94"/>
  </cols>
  <sheetData>
    <row r="1" spans="1:9" ht="21" x14ac:dyDescent="0.35">
      <c r="A1" s="162" t="s">
        <v>809</v>
      </c>
      <c r="G1" s="32"/>
    </row>
    <row r="2" spans="1:9" x14ac:dyDescent="0.2">
      <c r="I2" s="32"/>
    </row>
    <row r="3" spans="1:9" x14ac:dyDescent="0.2">
      <c r="A3" s="316" t="s">
        <v>810</v>
      </c>
      <c r="B3" s="316"/>
      <c r="C3" s="316"/>
      <c r="D3" s="316"/>
      <c r="E3" s="316"/>
      <c r="F3" s="316"/>
      <c r="G3" s="316"/>
      <c r="H3" s="316"/>
      <c r="I3" s="316"/>
    </row>
    <row r="4" spans="1:9" ht="12.75" customHeight="1" x14ac:dyDescent="0.2">
      <c r="A4" s="316" t="s">
        <v>811</v>
      </c>
      <c r="B4" s="316"/>
      <c r="C4" s="316"/>
      <c r="D4" s="316"/>
      <c r="E4" s="316"/>
      <c r="F4" s="316"/>
      <c r="G4" s="316"/>
      <c r="H4" s="316"/>
      <c r="I4" s="316"/>
    </row>
    <row r="5" spans="1:9" x14ac:dyDescent="0.2">
      <c r="A5" s="316" t="s">
        <v>812</v>
      </c>
      <c r="B5" s="316"/>
      <c r="C5" s="316"/>
      <c r="D5" s="316"/>
      <c r="E5" s="316"/>
      <c r="F5" s="316"/>
      <c r="G5" s="316"/>
      <c r="H5" s="316"/>
      <c r="I5" s="316"/>
    </row>
    <row r="6" spans="1:9" x14ac:dyDescent="0.2">
      <c r="A6" s="315" t="s">
        <v>813</v>
      </c>
      <c r="B6" s="315"/>
      <c r="C6" s="315"/>
      <c r="D6" s="315"/>
      <c r="E6" s="315"/>
      <c r="F6" s="315"/>
      <c r="G6" s="315"/>
      <c r="H6" s="113"/>
      <c r="I6" s="114"/>
    </row>
    <row r="7" spans="1:9" ht="51" x14ac:dyDescent="0.2">
      <c r="A7" s="115" t="s">
        <v>814</v>
      </c>
      <c r="B7" s="116"/>
      <c r="C7" s="116"/>
      <c r="D7" s="116" t="s">
        <v>815</v>
      </c>
      <c r="E7" s="116" t="s">
        <v>816</v>
      </c>
      <c r="F7" s="159" t="s">
        <v>817</v>
      </c>
      <c r="G7" s="116" t="s">
        <v>818</v>
      </c>
      <c r="H7" s="117" t="s">
        <v>819</v>
      </c>
      <c r="I7" s="118" t="s">
        <v>820</v>
      </c>
    </row>
    <row r="8" spans="1:9" x14ac:dyDescent="0.2">
      <c r="A8" s="119"/>
      <c r="B8" s="119"/>
      <c r="C8" s="119"/>
      <c r="D8" s="153"/>
      <c r="E8" s="153"/>
      <c r="F8" s="153"/>
      <c r="G8" s="153"/>
      <c r="H8" s="119"/>
      <c r="I8" s="119"/>
    </row>
    <row r="9" spans="1:9" ht="12" customHeight="1" x14ac:dyDescent="0.2">
      <c r="A9" s="120" t="s">
        <v>821</v>
      </c>
      <c r="B9" s="121" t="s">
        <v>822</v>
      </c>
      <c r="C9" s="121" t="s">
        <v>823</v>
      </c>
      <c r="D9" s="154">
        <v>5.0000000000000001E-3</v>
      </c>
      <c r="E9" s="154">
        <f>D9*(100-22)/($D$188-22)</f>
        <v>5.0082186151633439E-3</v>
      </c>
      <c r="F9" s="155">
        <f>(E9*$D$195/100)</f>
        <v>927.0278371396505</v>
      </c>
      <c r="G9" s="156">
        <f>(F9/3)</f>
        <v>309.00927904655015</v>
      </c>
      <c r="H9" s="122">
        <v>220</v>
      </c>
      <c r="I9" s="123">
        <f>G9-H9</f>
        <v>89.009279046550148</v>
      </c>
    </row>
    <row r="10" spans="1:9" ht="12" customHeight="1" x14ac:dyDescent="0.2">
      <c r="A10" s="120" t="s">
        <v>824</v>
      </c>
      <c r="B10" s="121" t="s">
        <v>825</v>
      </c>
      <c r="C10" s="121" t="s">
        <v>826</v>
      </c>
      <c r="D10" s="154">
        <v>0.01</v>
      </c>
      <c r="E10" s="154">
        <f t="shared" ref="E10:E74" si="0">D10*(100-22)/($D$188-22)</f>
        <v>1.0016437230326688E-2</v>
      </c>
      <c r="F10" s="155">
        <f t="shared" ref="F10:F74" si="1">(E10*$D$195/100)</f>
        <v>1854.055674279301</v>
      </c>
      <c r="G10" s="156">
        <f t="shared" ref="G10:G74" si="2">(F10/3)</f>
        <v>618.0185580931003</v>
      </c>
      <c r="H10" s="122">
        <v>549</v>
      </c>
      <c r="I10" s="124">
        <f t="shared" ref="I10:I74" si="3">G10-H10</f>
        <v>69.018558093100296</v>
      </c>
    </row>
    <row r="11" spans="1:9" ht="12" customHeight="1" x14ac:dyDescent="0.2">
      <c r="A11" s="120" t="s">
        <v>827</v>
      </c>
      <c r="B11" s="121" t="s">
        <v>828</v>
      </c>
      <c r="C11" s="121" t="s">
        <v>829</v>
      </c>
      <c r="D11" s="154">
        <v>0.13700000000000001</v>
      </c>
      <c r="E11" s="154">
        <f t="shared" si="0"/>
        <v>0.13722519005547562</v>
      </c>
      <c r="F11" s="155">
        <f t="shared" si="1"/>
        <v>25400.562737626424</v>
      </c>
      <c r="G11" s="156">
        <f t="shared" si="2"/>
        <v>8466.8542458754746</v>
      </c>
      <c r="H11" s="122">
        <v>7021</v>
      </c>
      <c r="I11" s="124">
        <f t="shared" si="3"/>
        <v>1445.8542458754746</v>
      </c>
    </row>
    <row r="12" spans="1:9" ht="12" customHeight="1" x14ac:dyDescent="0.2">
      <c r="A12" s="120" t="s">
        <v>830</v>
      </c>
      <c r="B12" s="121" t="s">
        <v>831</v>
      </c>
      <c r="C12" s="121" t="s">
        <v>832</v>
      </c>
      <c r="D12" s="154">
        <v>2E-3</v>
      </c>
      <c r="E12" s="154">
        <f t="shared" si="0"/>
        <v>2.0032874460653377E-3</v>
      </c>
      <c r="F12" s="155">
        <f t="shared" si="1"/>
        <v>370.81113485586025</v>
      </c>
      <c r="G12" s="156">
        <f t="shared" si="2"/>
        <v>123.60371161862008</v>
      </c>
      <c r="H12" s="122">
        <v>110</v>
      </c>
      <c r="I12" s="124">
        <f t="shared" si="3"/>
        <v>13.603711618620082</v>
      </c>
    </row>
    <row r="13" spans="1:9" ht="12" customHeight="1" x14ac:dyDescent="0.2">
      <c r="A13" s="120" t="s">
        <v>833</v>
      </c>
      <c r="B13" s="121" t="s">
        <v>834</v>
      </c>
      <c r="C13" s="121" t="s">
        <v>835</v>
      </c>
      <c r="D13" s="154">
        <v>0.432</v>
      </c>
      <c r="E13" s="154">
        <f t="shared" si="0"/>
        <v>0.43271008835011288</v>
      </c>
      <c r="F13" s="155">
        <f t="shared" si="1"/>
        <v>80095.205128865797</v>
      </c>
      <c r="G13" s="156">
        <f t="shared" si="2"/>
        <v>26698.401709621932</v>
      </c>
      <c r="H13" s="122">
        <v>15743</v>
      </c>
      <c r="I13" s="124">
        <f t="shared" si="3"/>
        <v>10955.401709621932</v>
      </c>
    </row>
    <row r="14" spans="1:9" ht="12" customHeight="1" x14ac:dyDescent="0.2">
      <c r="A14" s="120" t="s">
        <v>836</v>
      </c>
      <c r="B14" s="120" t="s">
        <v>837</v>
      </c>
      <c r="C14" s="120" t="s">
        <v>838</v>
      </c>
      <c r="D14" s="154">
        <v>7.0000000000000001E-3</v>
      </c>
      <c r="E14" s="154">
        <f t="shared" si="0"/>
        <v>7.0115060612286825E-3</v>
      </c>
      <c r="F14" s="155">
        <f t="shared" si="1"/>
        <v>1297.838971995511</v>
      </c>
      <c r="G14" s="156">
        <f t="shared" si="2"/>
        <v>432.61299066517034</v>
      </c>
      <c r="H14" s="122">
        <v>275</v>
      </c>
      <c r="I14" s="124">
        <f t="shared" si="3"/>
        <v>157.61299066517034</v>
      </c>
    </row>
    <row r="15" spans="1:9" ht="12" customHeight="1" x14ac:dyDescent="0.2">
      <c r="A15" s="120" t="s">
        <v>839</v>
      </c>
      <c r="B15" s="121" t="s">
        <v>840</v>
      </c>
      <c r="C15" s="121" t="s">
        <v>841</v>
      </c>
      <c r="D15" s="154">
        <v>2.0739999999999998</v>
      </c>
      <c r="E15" s="154">
        <f t="shared" si="0"/>
        <v>2.0774090815697548</v>
      </c>
      <c r="F15" s="155">
        <f t="shared" si="1"/>
        <v>384531.14684552699</v>
      </c>
      <c r="G15" s="156">
        <f t="shared" si="2"/>
        <v>128177.04894850899</v>
      </c>
      <c r="H15" s="122">
        <v>106029</v>
      </c>
      <c r="I15" s="124">
        <f t="shared" si="3"/>
        <v>22148.048948508993</v>
      </c>
    </row>
    <row r="16" spans="1:9" ht="12" customHeight="1" x14ac:dyDescent="0.2">
      <c r="A16" s="120" t="s">
        <v>842</v>
      </c>
      <c r="B16" s="121" t="s">
        <v>843</v>
      </c>
      <c r="C16" s="121" t="s">
        <v>844</v>
      </c>
      <c r="D16" s="154">
        <v>0.79800000000000004</v>
      </c>
      <c r="E16" s="154">
        <f t="shared" si="0"/>
        <v>0.79931169098006971</v>
      </c>
      <c r="F16" s="155">
        <f t="shared" si="1"/>
        <v>147953.64280748821</v>
      </c>
      <c r="G16" s="156">
        <f t="shared" si="2"/>
        <v>49317.880935829402</v>
      </c>
      <c r="H16" s="122">
        <v>46679</v>
      </c>
      <c r="I16" s="124">
        <f t="shared" si="3"/>
        <v>2638.880935829402</v>
      </c>
    </row>
    <row r="17" spans="1:9" ht="12" customHeight="1" x14ac:dyDescent="0.2">
      <c r="A17" s="120" t="s">
        <v>845</v>
      </c>
      <c r="B17" s="121" t="s">
        <v>846</v>
      </c>
      <c r="C17" s="121" t="s">
        <v>847</v>
      </c>
      <c r="D17" s="154">
        <v>0.04</v>
      </c>
      <c r="E17" s="154">
        <f t="shared" si="0"/>
        <v>4.0065748921306751E-2</v>
      </c>
      <c r="F17" s="155">
        <f t="shared" si="1"/>
        <v>7416.222697117204</v>
      </c>
      <c r="G17" s="156">
        <f t="shared" si="2"/>
        <v>2472.0742323724012</v>
      </c>
      <c r="H17" s="122">
        <v>823</v>
      </c>
      <c r="I17" s="124">
        <f t="shared" si="3"/>
        <v>1649.0742323724012</v>
      </c>
    </row>
    <row r="18" spans="1:9" ht="12" customHeight="1" x14ac:dyDescent="0.2">
      <c r="A18" s="120" t="s">
        <v>848</v>
      </c>
      <c r="B18" s="121" t="s">
        <v>849</v>
      </c>
      <c r="C18" s="121" t="s">
        <v>850</v>
      </c>
      <c r="D18" s="154">
        <v>1.7000000000000001E-2</v>
      </c>
      <c r="E18" s="154">
        <f t="shared" si="0"/>
        <v>1.702794329155537E-2</v>
      </c>
      <c r="F18" s="155">
        <f t="shared" si="1"/>
        <v>3151.8946462748117</v>
      </c>
      <c r="G18" s="156">
        <f t="shared" si="2"/>
        <v>1050.6315487582706</v>
      </c>
      <c r="H18" s="122">
        <v>988</v>
      </c>
      <c r="I18" s="124">
        <f t="shared" si="3"/>
        <v>62.631548758270583</v>
      </c>
    </row>
    <row r="19" spans="1:9" ht="12" customHeight="1" x14ac:dyDescent="0.2">
      <c r="A19" s="120" t="s">
        <v>851</v>
      </c>
      <c r="B19" s="121"/>
      <c r="C19" s="121"/>
      <c r="D19" s="154">
        <v>3.9E-2</v>
      </c>
      <c r="E19" s="154">
        <f t="shared" si="0"/>
        <v>3.9064105198274079E-2</v>
      </c>
      <c r="F19" s="155">
        <f t="shared" si="1"/>
        <v>7230.8171296892733</v>
      </c>
      <c r="G19" s="156">
        <f t="shared" si="2"/>
        <v>2410.2723765630913</v>
      </c>
      <c r="H19" s="122">
        <v>0</v>
      </c>
      <c r="I19" s="124">
        <v>0</v>
      </c>
    </row>
    <row r="20" spans="1:9" ht="12" customHeight="1" x14ac:dyDescent="0.2">
      <c r="A20" s="120" t="s">
        <v>852</v>
      </c>
      <c r="B20" s="121" t="s">
        <v>853</v>
      </c>
      <c r="C20" s="121" t="s">
        <v>854</v>
      </c>
      <c r="D20" s="154">
        <v>0.01</v>
      </c>
      <c r="E20" s="154">
        <f t="shared" si="0"/>
        <v>1.0016437230326688E-2</v>
      </c>
      <c r="F20" s="155">
        <f t="shared" si="1"/>
        <v>1854.055674279301</v>
      </c>
      <c r="G20" s="156">
        <f t="shared" si="2"/>
        <v>618.0185580931003</v>
      </c>
      <c r="H20" s="122">
        <v>549</v>
      </c>
      <c r="I20" s="124">
        <f t="shared" si="3"/>
        <v>69.018558093100296</v>
      </c>
    </row>
    <row r="21" spans="1:9" ht="12" customHeight="1" x14ac:dyDescent="0.2">
      <c r="A21" s="120" t="s">
        <v>855</v>
      </c>
      <c r="B21" s="121" t="s">
        <v>856</v>
      </c>
      <c r="C21" s="121" t="s">
        <v>857</v>
      </c>
      <c r="D21" s="154">
        <v>8.0000000000000002E-3</v>
      </c>
      <c r="E21" s="154">
        <f t="shared" si="0"/>
        <v>8.013149784261351E-3</v>
      </c>
      <c r="F21" s="155">
        <f t="shared" si="1"/>
        <v>1483.244539423441</v>
      </c>
      <c r="G21" s="156">
        <f t="shared" si="2"/>
        <v>494.41484647448033</v>
      </c>
      <c r="H21" s="122">
        <v>439</v>
      </c>
      <c r="I21" s="124">
        <f t="shared" si="3"/>
        <v>55.414846474480328</v>
      </c>
    </row>
    <row r="22" spans="1:9" ht="12" customHeight="1" x14ac:dyDescent="0.2">
      <c r="A22" s="120" t="s">
        <v>858</v>
      </c>
      <c r="B22" s="121" t="s">
        <v>859</v>
      </c>
      <c r="C22" s="121" t="s">
        <v>860</v>
      </c>
      <c r="D22" s="154">
        <v>5.6000000000000001E-2</v>
      </c>
      <c r="E22" s="154">
        <f t="shared" si="0"/>
        <v>5.609204848982946E-2</v>
      </c>
      <c r="F22" s="155">
        <f t="shared" si="1"/>
        <v>10382.711775964088</v>
      </c>
      <c r="G22" s="156">
        <f t="shared" si="2"/>
        <v>3460.9039253213627</v>
      </c>
      <c r="H22" s="122">
        <v>2304</v>
      </c>
      <c r="I22" s="124">
        <f t="shared" si="3"/>
        <v>1156.9039253213627</v>
      </c>
    </row>
    <row r="23" spans="1:9" ht="12" customHeight="1" x14ac:dyDescent="0.2">
      <c r="A23" s="120" t="s">
        <v>861</v>
      </c>
      <c r="B23" s="121" t="s">
        <v>862</v>
      </c>
      <c r="C23" s="121" t="s">
        <v>863</v>
      </c>
      <c r="D23" s="154">
        <v>0.998</v>
      </c>
      <c r="E23" s="154">
        <f t="shared" si="0"/>
        <v>0.99964043558660343</v>
      </c>
      <c r="F23" s="155">
        <f t="shared" si="1"/>
        <v>185034.75629307423</v>
      </c>
      <c r="G23" s="156">
        <f t="shared" si="2"/>
        <v>61678.252097691409</v>
      </c>
      <c r="H23" s="122">
        <v>58966</v>
      </c>
      <c r="I23" s="124">
        <f t="shared" si="3"/>
        <v>2712.2520976914093</v>
      </c>
    </row>
    <row r="24" spans="1:9" ht="12" customHeight="1" x14ac:dyDescent="0.2">
      <c r="A24" s="120" t="s">
        <v>864</v>
      </c>
      <c r="B24" s="121" t="s">
        <v>865</v>
      </c>
      <c r="C24" s="121" t="s">
        <v>866</v>
      </c>
      <c r="D24" s="154">
        <v>1E-3</v>
      </c>
      <c r="E24" s="154">
        <f t="shared" si="0"/>
        <v>1.0016437230326689E-3</v>
      </c>
      <c r="F24" s="155">
        <f t="shared" si="1"/>
        <v>185.40556742793012</v>
      </c>
      <c r="G24" s="156">
        <f t="shared" si="2"/>
        <v>61.801855809310041</v>
      </c>
      <c r="H24" s="122">
        <v>55</v>
      </c>
      <c r="I24" s="124">
        <f t="shared" si="3"/>
        <v>6.801855809310041</v>
      </c>
    </row>
    <row r="25" spans="1:9" ht="12" customHeight="1" x14ac:dyDescent="0.2">
      <c r="A25" s="120" t="s">
        <v>867</v>
      </c>
      <c r="B25" s="121" t="s">
        <v>868</v>
      </c>
      <c r="C25" s="121" t="s">
        <v>869</v>
      </c>
      <c r="D25" s="154">
        <v>3.0000000000000001E-3</v>
      </c>
      <c r="E25" s="154">
        <f t="shared" si="0"/>
        <v>3.0049311690980066E-3</v>
      </c>
      <c r="F25" s="155">
        <f t="shared" si="1"/>
        <v>556.21670228379037</v>
      </c>
      <c r="G25" s="156">
        <f t="shared" si="2"/>
        <v>185.40556742793012</v>
      </c>
      <c r="H25" s="122">
        <v>165</v>
      </c>
      <c r="I25" s="124">
        <f t="shared" si="3"/>
        <v>20.405567427930123</v>
      </c>
    </row>
    <row r="26" spans="1:9" ht="12" customHeight="1" x14ac:dyDescent="0.2">
      <c r="A26" s="120" t="s">
        <v>870</v>
      </c>
      <c r="B26" s="121" t="s">
        <v>871</v>
      </c>
      <c r="C26" s="121" t="s">
        <v>872</v>
      </c>
      <c r="D26" s="154">
        <v>1E-3</v>
      </c>
      <c r="E26" s="154">
        <f t="shared" si="0"/>
        <v>1.0016437230326689E-3</v>
      </c>
      <c r="F26" s="155">
        <f t="shared" si="1"/>
        <v>185.40556742793012</v>
      </c>
      <c r="G26" s="156">
        <f t="shared" si="2"/>
        <v>61.801855809310041</v>
      </c>
      <c r="H26" s="122">
        <v>55</v>
      </c>
      <c r="I26" s="124">
        <f t="shared" si="3"/>
        <v>6.801855809310041</v>
      </c>
    </row>
    <row r="27" spans="1:9" ht="12" customHeight="1" x14ac:dyDescent="0.2">
      <c r="A27" s="120" t="s">
        <v>873</v>
      </c>
      <c r="B27" s="121" t="s">
        <v>874</v>
      </c>
      <c r="C27" s="121" t="s">
        <v>875</v>
      </c>
      <c r="D27" s="154">
        <v>8.9999999999999993E-3</v>
      </c>
      <c r="E27" s="154">
        <f t="shared" si="0"/>
        <v>9.0147935072940194E-3</v>
      </c>
      <c r="F27" s="155">
        <f t="shared" si="1"/>
        <v>1668.650106851371</v>
      </c>
      <c r="G27" s="156">
        <f t="shared" si="2"/>
        <v>556.21670228379037</v>
      </c>
      <c r="H27" s="122">
        <v>384</v>
      </c>
      <c r="I27" s="124">
        <f t="shared" si="3"/>
        <v>172.21670228379037</v>
      </c>
    </row>
    <row r="28" spans="1:9" ht="12" customHeight="1" x14ac:dyDescent="0.2">
      <c r="A28" s="125" t="s">
        <v>876</v>
      </c>
      <c r="B28" s="125" t="s">
        <v>877</v>
      </c>
      <c r="C28" s="125" t="s">
        <v>878</v>
      </c>
      <c r="D28" s="154">
        <v>1.7000000000000001E-2</v>
      </c>
      <c r="E28" s="154">
        <f t="shared" si="0"/>
        <v>1.702794329155537E-2</v>
      </c>
      <c r="F28" s="155">
        <f t="shared" si="1"/>
        <v>3151.8946462748117</v>
      </c>
      <c r="G28" s="156">
        <f t="shared" si="2"/>
        <v>1050.6315487582706</v>
      </c>
      <c r="H28" s="122">
        <v>768</v>
      </c>
      <c r="I28" s="124">
        <f t="shared" si="3"/>
        <v>282.63154875827058</v>
      </c>
    </row>
    <row r="29" spans="1:9" ht="12" customHeight="1" x14ac:dyDescent="0.2">
      <c r="A29" s="120" t="s">
        <v>879</v>
      </c>
      <c r="B29" s="121" t="s">
        <v>880</v>
      </c>
      <c r="C29" s="121" t="s">
        <v>881</v>
      </c>
      <c r="D29" s="154">
        <v>1.7000000000000001E-2</v>
      </c>
      <c r="E29" s="154">
        <f t="shared" si="0"/>
        <v>1.702794329155537E-2</v>
      </c>
      <c r="F29" s="155">
        <f t="shared" si="1"/>
        <v>3151.8946462748117</v>
      </c>
      <c r="G29" s="156">
        <f t="shared" si="2"/>
        <v>1050.6315487582706</v>
      </c>
      <c r="H29" s="122">
        <v>988</v>
      </c>
      <c r="I29" s="124">
        <f t="shared" si="3"/>
        <v>62.631548758270583</v>
      </c>
    </row>
    <row r="30" spans="1:9" ht="12" customHeight="1" x14ac:dyDescent="0.2">
      <c r="A30" s="120" t="s">
        <v>882</v>
      </c>
      <c r="B30" s="121" t="s">
        <v>883</v>
      </c>
      <c r="C30" s="121" t="s">
        <v>884</v>
      </c>
      <c r="D30" s="154">
        <v>2.9340000000000002</v>
      </c>
      <c r="E30" s="154">
        <f t="shared" si="0"/>
        <v>2.9388226833778504</v>
      </c>
      <c r="F30" s="155">
        <f t="shared" si="1"/>
        <v>543979.93483354698</v>
      </c>
      <c r="G30" s="156">
        <f t="shared" si="2"/>
        <v>181326.64494451566</v>
      </c>
      <c r="H30" s="122">
        <v>88367</v>
      </c>
      <c r="I30" s="124">
        <f t="shared" si="3"/>
        <v>92959.644944515661</v>
      </c>
    </row>
    <row r="31" spans="1:9" ht="12" customHeight="1" x14ac:dyDescent="0.2">
      <c r="A31" s="120" t="s">
        <v>885</v>
      </c>
      <c r="B31" s="121" t="s">
        <v>886</v>
      </c>
      <c r="C31" s="121" t="s">
        <v>887</v>
      </c>
      <c r="D31" s="154">
        <v>2.5999999999999999E-2</v>
      </c>
      <c r="E31" s="154">
        <f t="shared" si="0"/>
        <v>2.604273679884939E-2</v>
      </c>
      <c r="F31" s="155">
        <f t="shared" si="1"/>
        <v>4820.5447531261834</v>
      </c>
      <c r="G31" s="156">
        <f t="shared" si="2"/>
        <v>1606.8482510420611</v>
      </c>
      <c r="H31" s="122">
        <v>1536</v>
      </c>
      <c r="I31" s="124">
        <f t="shared" si="3"/>
        <v>70.848251042061065</v>
      </c>
    </row>
    <row r="32" spans="1:9" ht="12" customHeight="1" x14ac:dyDescent="0.2">
      <c r="A32" s="120" t="s">
        <v>888</v>
      </c>
      <c r="B32" s="121" t="s">
        <v>889</v>
      </c>
      <c r="C32" s="121" t="s">
        <v>890</v>
      </c>
      <c r="D32" s="154">
        <v>4.7E-2</v>
      </c>
      <c r="E32" s="154">
        <f t="shared" si="0"/>
        <v>4.7077254982535434E-2</v>
      </c>
      <c r="F32" s="155">
        <f t="shared" si="1"/>
        <v>8714.0616691127143</v>
      </c>
      <c r="G32" s="156">
        <f t="shared" si="2"/>
        <v>2904.6872230375716</v>
      </c>
      <c r="H32" s="122">
        <v>2085</v>
      </c>
      <c r="I32" s="124">
        <f t="shared" si="3"/>
        <v>819.68722303757158</v>
      </c>
    </row>
    <row r="33" spans="1:9" ht="12" customHeight="1" x14ac:dyDescent="0.2">
      <c r="A33" s="120" t="s">
        <v>891</v>
      </c>
      <c r="B33" s="121" t="s">
        <v>892</v>
      </c>
      <c r="C33" s="121" t="s">
        <v>893</v>
      </c>
      <c r="D33" s="154">
        <v>3.0000000000000001E-3</v>
      </c>
      <c r="E33" s="154">
        <f t="shared" si="0"/>
        <v>3.0049311690980066E-3</v>
      </c>
      <c r="F33" s="155">
        <f t="shared" si="1"/>
        <v>556.21670228379037</v>
      </c>
      <c r="G33" s="156">
        <f t="shared" si="2"/>
        <v>185.40556742793012</v>
      </c>
      <c r="H33" s="122">
        <v>165</v>
      </c>
      <c r="I33" s="124">
        <f t="shared" si="3"/>
        <v>20.405567427930123</v>
      </c>
    </row>
    <row r="34" spans="1:9" ht="12" customHeight="1" x14ac:dyDescent="0.2">
      <c r="A34" s="120" t="s">
        <v>894</v>
      </c>
      <c r="B34" s="121" t="s">
        <v>895</v>
      </c>
      <c r="C34" s="121" t="s">
        <v>896</v>
      </c>
      <c r="D34" s="154">
        <v>1E-3</v>
      </c>
      <c r="E34" s="154">
        <f t="shared" si="0"/>
        <v>1.0016437230326689E-3</v>
      </c>
      <c r="F34" s="155">
        <f t="shared" si="1"/>
        <v>185.40556742793012</v>
      </c>
      <c r="G34" s="156">
        <f t="shared" si="2"/>
        <v>61.801855809310041</v>
      </c>
      <c r="H34" s="122">
        <v>55</v>
      </c>
      <c r="I34" s="124">
        <f t="shared" si="3"/>
        <v>6.801855809310041</v>
      </c>
    </row>
    <row r="35" spans="1:9" ht="12" customHeight="1" x14ac:dyDescent="0.2">
      <c r="A35" s="120" t="s">
        <v>897</v>
      </c>
      <c r="B35" s="121" t="s">
        <v>898</v>
      </c>
      <c r="C35" s="121" t="s">
        <v>899</v>
      </c>
      <c r="D35" s="154">
        <v>4.0000000000000001E-3</v>
      </c>
      <c r="E35" s="154">
        <f t="shared" si="0"/>
        <v>4.0065748921306755E-3</v>
      </c>
      <c r="F35" s="155">
        <f t="shared" si="1"/>
        <v>741.62226971172049</v>
      </c>
      <c r="G35" s="156">
        <f t="shared" si="2"/>
        <v>247.20742323724016</v>
      </c>
      <c r="H35" s="122">
        <v>165</v>
      </c>
      <c r="I35" s="124">
        <f t="shared" si="3"/>
        <v>82.207423237240164</v>
      </c>
    </row>
    <row r="36" spans="1:9" ht="12" customHeight="1" x14ac:dyDescent="0.2">
      <c r="A36" s="120" t="s">
        <v>900</v>
      </c>
      <c r="B36" s="121" t="s">
        <v>901</v>
      </c>
      <c r="C36" s="121" t="s">
        <v>902</v>
      </c>
      <c r="D36" s="154">
        <v>1.2E-2</v>
      </c>
      <c r="E36" s="154">
        <f t="shared" si="0"/>
        <v>1.2019724676392026E-2</v>
      </c>
      <c r="F36" s="155">
        <f t="shared" si="1"/>
        <v>2224.8668091351615</v>
      </c>
      <c r="G36" s="156">
        <f t="shared" si="2"/>
        <v>741.62226971172049</v>
      </c>
      <c r="H36" s="122">
        <v>604</v>
      </c>
      <c r="I36" s="124">
        <f t="shared" si="3"/>
        <v>137.62226971172049</v>
      </c>
    </row>
    <row r="37" spans="1:9" ht="12" customHeight="1" x14ac:dyDescent="0.2">
      <c r="A37" s="120" t="s">
        <v>903</v>
      </c>
      <c r="B37" s="121" t="s">
        <v>904</v>
      </c>
      <c r="C37" s="121" t="s">
        <v>905</v>
      </c>
      <c r="D37" s="154">
        <v>2.984</v>
      </c>
      <c r="E37" s="154">
        <f t="shared" si="0"/>
        <v>2.9889048695294838</v>
      </c>
      <c r="F37" s="155">
        <f t="shared" si="1"/>
        <v>553250.21320494346</v>
      </c>
      <c r="G37" s="156">
        <f t="shared" si="2"/>
        <v>184416.73773498114</v>
      </c>
      <c r="H37" s="122">
        <v>175911</v>
      </c>
      <c r="I37" s="124">
        <f t="shared" si="3"/>
        <v>8505.7377349811431</v>
      </c>
    </row>
    <row r="38" spans="1:9" ht="12" customHeight="1" x14ac:dyDescent="0.2">
      <c r="A38" s="120" t="s">
        <v>906</v>
      </c>
      <c r="B38" s="121" t="s">
        <v>907</v>
      </c>
      <c r="C38" s="121" t="s">
        <v>908</v>
      </c>
      <c r="D38" s="154">
        <v>1E-3</v>
      </c>
      <c r="E38" s="154">
        <f t="shared" si="0"/>
        <v>1.0016437230326689E-3</v>
      </c>
      <c r="F38" s="155">
        <f t="shared" si="1"/>
        <v>185.40556742793012</v>
      </c>
      <c r="G38" s="156">
        <f t="shared" si="2"/>
        <v>61.801855809310041</v>
      </c>
      <c r="H38" s="122">
        <v>55</v>
      </c>
      <c r="I38" s="124">
        <f t="shared" si="3"/>
        <v>6.801855809310041</v>
      </c>
    </row>
    <row r="39" spans="1:9" ht="12" customHeight="1" x14ac:dyDescent="0.2">
      <c r="A39" s="120" t="s">
        <v>909</v>
      </c>
      <c r="B39" s="121" t="s">
        <v>910</v>
      </c>
      <c r="C39" s="121" t="s">
        <v>911</v>
      </c>
      <c r="D39" s="154">
        <v>1E-3</v>
      </c>
      <c r="E39" s="154">
        <f t="shared" si="0"/>
        <v>1.0016437230326689E-3</v>
      </c>
      <c r="F39" s="155">
        <f t="shared" si="1"/>
        <v>185.40556742793012</v>
      </c>
      <c r="G39" s="156">
        <f t="shared" si="2"/>
        <v>61.801855809310041</v>
      </c>
      <c r="H39" s="122">
        <v>55</v>
      </c>
      <c r="I39" s="124">
        <f t="shared" si="3"/>
        <v>6.801855809310041</v>
      </c>
    </row>
    <row r="40" spans="1:9" ht="12" customHeight="1" x14ac:dyDescent="0.2">
      <c r="A40" s="120" t="s">
        <v>912</v>
      </c>
      <c r="B40" s="121" t="s">
        <v>913</v>
      </c>
      <c r="C40" s="121" t="s">
        <v>914</v>
      </c>
      <c r="D40" s="154">
        <v>2E-3</v>
      </c>
      <c r="E40" s="154">
        <f t="shared" si="0"/>
        <v>2.0032874460653377E-3</v>
      </c>
      <c r="F40" s="155">
        <f t="shared" si="1"/>
        <v>370.81113485586025</v>
      </c>
      <c r="G40" s="156">
        <f t="shared" si="2"/>
        <v>123.60371161862008</v>
      </c>
      <c r="H40" s="122">
        <v>110</v>
      </c>
      <c r="I40" s="124">
        <f t="shared" si="3"/>
        <v>13.603711618620082</v>
      </c>
    </row>
    <row r="41" spans="1:9" ht="12" customHeight="1" x14ac:dyDescent="0.2">
      <c r="A41" s="120" t="s">
        <v>915</v>
      </c>
      <c r="B41" s="121" t="s">
        <v>916</v>
      </c>
      <c r="C41" s="121" t="s">
        <v>917</v>
      </c>
      <c r="D41" s="154">
        <v>0.33400000000000002</v>
      </c>
      <c r="E41" s="154">
        <f t="shared" si="0"/>
        <v>0.33454900349291145</v>
      </c>
      <c r="F41" s="155">
        <f t="shared" si="1"/>
        <v>61925.459520928664</v>
      </c>
      <c r="G41" s="156">
        <f t="shared" si="2"/>
        <v>20641.819840309556</v>
      </c>
      <c r="H41" s="122">
        <v>12945</v>
      </c>
      <c r="I41" s="124">
        <f t="shared" si="3"/>
        <v>7696.8198403095557</v>
      </c>
    </row>
    <row r="42" spans="1:9" ht="12" customHeight="1" x14ac:dyDescent="0.2">
      <c r="A42" s="120" t="s">
        <v>918</v>
      </c>
      <c r="B42" s="121" t="s">
        <v>919</v>
      </c>
      <c r="C42" s="121" t="s">
        <v>920</v>
      </c>
      <c r="D42" s="154">
        <v>5.1479999999999997</v>
      </c>
      <c r="E42" s="154">
        <f t="shared" si="0"/>
        <v>5.1564618861721785</v>
      </c>
      <c r="F42" s="155">
        <f t="shared" si="1"/>
        <v>954467.86111898406</v>
      </c>
      <c r="G42" s="156">
        <f t="shared" si="2"/>
        <v>318155.953706328</v>
      </c>
      <c r="H42" s="122">
        <v>174923</v>
      </c>
      <c r="I42" s="124">
        <f t="shared" si="3"/>
        <v>143232.953706328</v>
      </c>
    </row>
    <row r="43" spans="1:9" ht="12" customHeight="1" x14ac:dyDescent="0.2">
      <c r="A43" s="120" t="s">
        <v>921</v>
      </c>
      <c r="B43" s="121" t="s">
        <v>922</v>
      </c>
      <c r="C43" s="121" t="s">
        <v>923</v>
      </c>
      <c r="D43" s="154">
        <v>0.25900000000000001</v>
      </c>
      <c r="E43" s="154">
        <f t="shared" si="0"/>
        <v>0.25942572426546123</v>
      </c>
      <c r="F43" s="155">
        <f t="shared" si="1"/>
        <v>48020.041963833894</v>
      </c>
      <c r="G43" s="156">
        <f t="shared" si="2"/>
        <v>16006.680654611298</v>
      </c>
      <c r="H43" s="122">
        <v>7899</v>
      </c>
      <c r="I43" s="124">
        <f t="shared" si="3"/>
        <v>8107.6806546112985</v>
      </c>
    </row>
    <row r="44" spans="1:9" ht="12" customHeight="1" x14ac:dyDescent="0.2">
      <c r="A44" s="120" t="s">
        <v>924</v>
      </c>
      <c r="B44" s="121" t="s">
        <v>925</v>
      </c>
      <c r="C44" s="121" t="s">
        <v>926</v>
      </c>
      <c r="D44" s="154">
        <v>1E-3</v>
      </c>
      <c r="E44" s="154">
        <f t="shared" si="0"/>
        <v>1.0016437230326689E-3</v>
      </c>
      <c r="F44" s="155">
        <f t="shared" si="1"/>
        <v>185.40556742793012</v>
      </c>
      <c r="G44" s="156">
        <f t="shared" si="2"/>
        <v>61.801855809310041</v>
      </c>
      <c r="H44" s="122">
        <v>55</v>
      </c>
      <c r="I44" s="124">
        <f t="shared" si="3"/>
        <v>6.801855809310041</v>
      </c>
    </row>
    <row r="45" spans="1:9" ht="12" customHeight="1" x14ac:dyDescent="0.2">
      <c r="A45" s="120" t="s">
        <v>927</v>
      </c>
      <c r="B45" s="121" t="s">
        <v>928</v>
      </c>
      <c r="C45" s="121" t="s">
        <v>929</v>
      </c>
      <c r="D45" s="154">
        <v>5.0000000000000001E-3</v>
      </c>
      <c r="E45" s="154">
        <f t="shared" si="0"/>
        <v>5.0082186151633439E-3</v>
      </c>
      <c r="F45" s="155">
        <f t="shared" si="1"/>
        <v>927.0278371396505</v>
      </c>
      <c r="G45" s="156">
        <f t="shared" si="2"/>
        <v>309.00927904655015</v>
      </c>
      <c r="H45" s="122">
        <v>165</v>
      </c>
      <c r="I45" s="124">
        <f t="shared" si="3"/>
        <v>144.00927904655015</v>
      </c>
    </row>
    <row r="46" spans="1:9" ht="12" customHeight="1" x14ac:dyDescent="0.2">
      <c r="A46" s="120" t="s">
        <v>930</v>
      </c>
      <c r="B46" s="121" t="s">
        <v>931</v>
      </c>
      <c r="C46" s="121" t="s">
        <v>932</v>
      </c>
      <c r="D46" s="154">
        <v>3.7999999999999999E-2</v>
      </c>
      <c r="E46" s="154">
        <f t="shared" si="0"/>
        <v>3.8062461475241414E-2</v>
      </c>
      <c r="F46" s="155">
        <f t="shared" si="1"/>
        <v>7045.4115622613435</v>
      </c>
      <c r="G46" s="156">
        <f t="shared" si="2"/>
        <v>2348.4705207537813</v>
      </c>
      <c r="H46" s="122">
        <v>1865</v>
      </c>
      <c r="I46" s="124">
        <f t="shared" si="3"/>
        <v>483.47052075378133</v>
      </c>
    </row>
    <row r="47" spans="1:9" ht="12" customHeight="1" x14ac:dyDescent="0.2">
      <c r="A47" s="120" t="s">
        <v>933</v>
      </c>
      <c r="B47" s="121" t="s">
        <v>934</v>
      </c>
      <c r="C47" s="121" t="s">
        <v>935</v>
      </c>
      <c r="D47" s="154">
        <v>1.0999999999999999E-2</v>
      </c>
      <c r="E47" s="154">
        <f t="shared" si="0"/>
        <v>1.1018080953359356E-2</v>
      </c>
      <c r="F47" s="155">
        <f t="shared" si="1"/>
        <v>2039.461241707231</v>
      </c>
      <c r="G47" s="156">
        <f t="shared" si="2"/>
        <v>679.82041390241034</v>
      </c>
      <c r="H47" s="122">
        <v>549</v>
      </c>
      <c r="I47" s="124">
        <f t="shared" si="3"/>
        <v>130.82041390241034</v>
      </c>
    </row>
    <row r="48" spans="1:9" ht="12" customHeight="1" x14ac:dyDescent="0.2">
      <c r="A48" s="120" t="s">
        <v>936</v>
      </c>
      <c r="B48" s="121" t="s">
        <v>937</v>
      </c>
      <c r="C48" s="121" t="s">
        <v>938</v>
      </c>
      <c r="D48" s="154">
        <v>0.126</v>
      </c>
      <c r="E48" s="154">
        <f t="shared" si="0"/>
        <v>0.12620710910211627</v>
      </c>
      <c r="F48" s="155">
        <f t="shared" si="1"/>
        <v>23361.101495919196</v>
      </c>
      <c r="G48" s="156">
        <f t="shared" si="2"/>
        <v>7787.0338319730654</v>
      </c>
      <c r="H48" s="122">
        <v>5321</v>
      </c>
      <c r="I48" s="124">
        <f t="shared" si="3"/>
        <v>2466.0338319730654</v>
      </c>
    </row>
    <row r="49" spans="1:13" ht="12" customHeight="1" x14ac:dyDescent="0.2">
      <c r="A49" s="120" t="s">
        <v>939</v>
      </c>
      <c r="B49" s="121" t="s">
        <v>940</v>
      </c>
      <c r="C49" s="121" t="s">
        <v>941</v>
      </c>
      <c r="D49" s="154">
        <v>6.9000000000000006E-2</v>
      </c>
      <c r="E49" s="154">
        <f t="shared" si="0"/>
        <v>6.9113416889254153E-2</v>
      </c>
      <c r="F49" s="155">
        <f t="shared" si="1"/>
        <v>12792.984152527179</v>
      </c>
      <c r="G49" s="156">
        <f t="shared" si="2"/>
        <v>4264.3280508423932</v>
      </c>
      <c r="H49" s="122">
        <v>3895</v>
      </c>
      <c r="I49" s="124">
        <f t="shared" si="3"/>
        <v>369.32805084239317</v>
      </c>
    </row>
    <row r="50" spans="1:13" ht="12" customHeight="1" x14ac:dyDescent="0.2">
      <c r="A50" s="120" t="s">
        <v>942</v>
      </c>
      <c r="B50" s="121" t="s">
        <v>943</v>
      </c>
      <c r="C50" s="121" t="s">
        <v>944</v>
      </c>
      <c r="D50" s="154">
        <v>4.7E-2</v>
      </c>
      <c r="E50" s="154">
        <f t="shared" si="0"/>
        <v>4.7077254982535434E-2</v>
      </c>
      <c r="F50" s="155">
        <f t="shared" si="1"/>
        <v>8714.0616691127143</v>
      </c>
      <c r="G50" s="156">
        <f t="shared" si="2"/>
        <v>2904.6872230375716</v>
      </c>
      <c r="H50" s="122">
        <v>2523</v>
      </c>
      <c r="I50" s="124">
        <f t="shared" si="3"/>
        <v>381.68722303757158</v>
      </c>
    </row>
    <row r="51" spans="1:13" ht="12" customHeight="1" x14ac:dyDescent="0.2">
      <c r="A51" s="120" t="s">
        <v>945</v>
      </c>
      <c r="B51" s="121" t="s">
        <v>946</v>
      </c>
      <c r="C51" s="121" t="s">
        <v>947</v>
      </c>
      <c r="D51" s="154">
        <v>0.38600000000000001</v>
      </c>
      <c r="E51" s="154">
        <f t="shared" si="0"/>
        <v>0.38663447709061016</v>
      </c>
      <c r="F51" s="155">
        <f t="shared" si="1"/>
        <v>71566.549027181027</v>
      </c>
      <c r="G51" s="156">
        <f t="shared" si="2"/>
        <v>23855.516342393676</v>
      </c>
      <c r="H51" s="122">
        <v>19144</v>
      </c>
      <c r="I51" s="124">
        <f t="shared" si="3"/>
        <v>4711.5163423936756</v>
      </c>
    </row>
    <row r="52" spans="1:13" ht="12" customHeight="1" x14ac:dyDescent="0.2">
      <c r="A52" s="120" t="s">
        <v>948</v>
      </c>
      <c r="B52" s="121" t="s">
        <v>949</v>
      </c>
      <c r="C52" s="121" t="s">
        <v>950</v>
      </c>
      <c r="D52" s="154">
        <v>3.0000000000000001E-3</v>
      </c>
      <c r="E52" s="154">
        <f t="shared" si="0"/>
        <v>3.0049311690980066E-3</v>
      </c>
      <c r="F52" s="155">
        <f t="shared" si="1"/>
        <v>556.21670228379037</v>
      </c>
      <c r="G52" s="156">
        <f t="shared" si="2"/>
        <v>185.40556742793012</v>
      </c>
      <c r="H52" s="122">
        <v>165</v>
      </c>
      <c r="I52" s="124">
        <f t="shared" si="3"/>
        <v>20.405567427930123</v>
      </c>
    </row>
    <row r="53" spans="1:13" ht="12" customHeight="1" x14ac:dyDescent="0.2">
      <c r="A53" s="120" t="s">
        <v>951</v>
      </c>
      <c r="B53" s="121" t="s">
        <v>952</v>
      </c>
      <c r="C53" s="121" t="s">
        <v>953</v>
      </c>
      <c r="D53" s="154">
        <v>0.67500000000000004</v>
      </c>
      <c r="E53" s="154">
        <f t="shared" si="0"/>
        <v>0.67610951304705147</v>
      </c>
      <c r="F53" s="155">
        <f t="shared" si="1"/>
        <v>125148.75801385283</v>
      </c>
      <c r="G53" s="156">
        <f t="shared" si="2"/>
        <v>41716.252671284274</v>
      </c>
      <c r="H53" s="122">
        <v>40371</v>
      </c>
      <c r="I53" s="124">
        <f t="shared" si="3"/>
        <v>1345.2526712842737</v>
      </c>
    </row>
    <row r="54" spans="1:13" ht="12" customHeight="1" x14ac:dyDescent="0.2">
      <c r="A54" s="120" t="s">
        <v>954</v>
      </c>
      <c r="B54" s="121" t="s">
        <v>955</v>
      </c>
      <c r="C54" s="121" t="s">
        <v>956</v>
      </c>
      <c r="D54" s="154">
        <v>1E-3</v>
      </c>
      <c r="E54" s="154">
        <f t="shared" si="0"/>
        <v>1.0016437230326689E-3</v>
      </c>
      <c r="F54" s="155">
        <f t="shared" si="1"/>
        <v>185.40556742793012</v>
      </c>
      <c r="G54" s="156">
        <f t="shared" si="2"/>
        <v>61.801855809310041</v>
      </c>
      <c r="H54" s="122">
        <v>55</v>
      </c>
      <c r="I54" s="124">
        <f t="shared" si="3"/>
        <v>6.801855809310041</v>
      </c>
    </row>
    <row r="55" spans="1:13" ht="12" customHeight="1" x14ac:dyDescent="0.2">
      <c r="A55" s="120" t="s">
        <v>957</v>
      </c>
      <c r="B55" s="121" t="s">
        <v>958</v>
      </c>
      <c r="C55" s="121" t="s">
        <v>959</v>
      </c>
      <c r="D55" s="154">
        <v>1E-3</v>
      </c>
      <c r="E55" s="154">
        <f t="shared" si="0"/>
        <v>1.0016437230326689E-3</v>
      </c>
      <c r="F55" s="155">
        <f t="shared" si="1"/>
        <v>185.40556742793012</v>
      </c>
      <c r="G55" s="156">
        <f t="shared" si="2"/>
        <v>61.801855809310041</v>
      </c>
      <c r="H55" s="122">
        <v>55</v>
      </c>
      <c r="I55" s="124">
        <f t="shared" si="3"/>
        <v>6.801855809310041</v>
      </c>
    </row>
    <row r="56" spans="1:13" ht="12" customHeight="1" x14ac:dyDescent="0.2">
      <c r="A56" s="120" t="s">
        <v>960</v>
      </c>
      <c r="B56" s="121" t="s">
        <v>961</v>
      </c>
      <c r="C56" s="121" t="s">
        <v>962</v>
      </c>
      <c r="D56" s="154">
        <v>4.4999999999999998E-2</v>
      </c>
      <c r="E56" s="154">
        <f t="shared" si="0"/>
        <v>4.5073967536470097E-2</v>
      </c>
      <c r="F56" s="155">
        <f t="shared" si="1"/>
        <v>8343.2505342568547</v>
      </c>
      <c r="G56" s="156">
        <f t="shared" si="2"/>
        <v>2781.0835114189517</v>
      </c>
      <c r="H56" s="122">
        <v>2304</v>
      </c>
      <c r="I56" s="124">
        <f t="shared" si="3"/>
        <v>477.08351141895173</v>
      </c>
    </row>
    <row r="57" spans="1:13" ht="12" customHeight="1" x14ac:dyDescent="0.2">
      <c r="A57" s="120" t="s">
        <v>963</v>
      </c>
      <c r="B57" s="121" t="s">
        <v>964</v>
      </c>
      <c r="C57" s="121" t="s">
        <v>965</v>
      </c>
      <c r="D57" s="154">
        <v>4.3999999999999997E-2</v>
      </c>
      <c r="E57" s="154">
        <f t="shared" si="0"/>
        <v>4.4072323813437425E-2</v>
      </c>
      <c r="F57" s="155">
        <f t="shared" si="1"/>
        <v>8157.844966828924</v>
      </c>
      <c r="G57" s="156">
        <f t="shared" si="2"/>
        <v>2719.2816556096413</v>
      </c>
      <c r="H57" s="122">
        <v>2194</v>
      </c>
      <c r="I57" s="124">
        <f t="shared" si="3"/>
        <v>525.28165560964135</v>
      </c>
    </row>
    <row r="58" spans="1:13" ht="12" customHeight="1" x14ac:dyDescent="0.2">
      <c r="A58" s="120" t="s">
        <v>966</v>
      </c>
      <c r="B58" s="121" t="s">
        <v>967</v>
      </c>
      <c r="C58" s="121" t="s">
        <v>968</v>
      </c>
      <c r="D58" s="154">
        <v>0.13400000000000001</v>
      </c>
      <c r="E58" s="154">
        <f t="shared" si="0"/>
        <v>0.13422025888637762</v>
      </c>
      <c r="F58" s="155">
        <f t="shared" si="1"/>
        <v>24844.346035342634</v>
      </c>
      <c r="G58" s="156">
        <f t="shared" si="2"/>
        <v>8281.4486784475448</v>
      </c>
      <c r="H58" s="122">
        <v>5156</v>
      </c>
      <c r="I58" s="124">
        <f t="shared" si="3"/>
        <v>3125.4486784475448</v>
      </c>
    </row>
    <row r="59" spans="1:13" ht="12" customHeight="1" x14ac:dyDescent="0.2">
      <c r="A59" s="120" t="s">
        <v>969</v>
      </c>
      <c r="B59" s="121" t="s">
        <v>970</v>
      </c>
      <c r="C59" s="121" t="s">
        <v>971</v>
      </c>
      <c r="D59" s="154">
        <v>1.6E-2</v>
      </c>
      <c r="E59" s="154">
        <f t="shared" si="0"/>
        <v>1.6026299568522702E-2</v>
      </c>
      <c r="F59" s="155">
        <f t="shared" si="1"/>
        <v>2966.489078846882</v>
      </c>
      <c r="G59" s="156">
        <f t="shared" si="2"/>
        <v>988.82969294896066</v>
      </c>
      <c r="H59" s="122">
        <v>1042</v>
      </c>
      <c r="I59" s="124">
        <f t="shared" si="3"/>
        <v>-53.170307051039345</v>
      </c>
    </row>
    <row r="60" spans="1:13" ht="12" customHeight="1" x14ac:dyDescent="0.2">
      <c r="A60" s="120" t="s">
        <v>972</v>
      </c>
      <c r="B60" s="121" t="s">
        <v>973</v>
      </c>
      <c r="C60" s="121" t="s">
        <v>974</v>
      </c>
      <c r="D60" s="154">
        <v>0.01</v>
      </c>
      <c r="E60" s="154">
        <f t="shared" si="0"/>
        <v>1.0016437230326688E-2</v>
      </c>
      <c r="F60" s="155">
        <f t="shared" si="1"/>
        <v>1854.055674279301</v>
      </c>
      <c r="G60" s="156">
        <f t="shared" si="2"/>
        <v>618.0185580931003</v>
      </c>
      <c r="H60" s="122">
        <v>439</v>
      </c>
      <c r="I60" s="124">
        <f t="shared" si="3"/>
        <v>179.0185580931003</v>
      </c>
    </row>
    <row r="61" spans="1:13" ht="12" customHeight="1" x14ac:dyDescent="0.2">
      <c r="A61" s="120" t="s">
        <v>975</v>
      </c>
      <c r="B61" s="121" t="s">
        <v>976</v>
      </c>
      <c r="C61" s="121" t="s">
        <v>977</v>
      </c>
      <c r="D61" s="154">
        <v>1E-3</v>
      </c>
      <c r="E61" s="154">
        <f t="shared" si="0"/>
        <v>1.0016437230326689E-3</v>
      </c>
      <c r="F61" s="155">
        <f t="shared" si="1"/>
        <v>185.40556742793012</v>
      </c>
      <c r="G61" s="156">
        <f t="shared" si="2"/>
        <v>61.801855809310041</v>
      </c>
      <c r="H61" s="122">
        <v>55</v>
      </c>
      <c r="I61" s="124">
        <f t="shared" si="3"/>
        <v>6.801855809310041</v>
      </c>
    </row>
    <row r="62" spans="1:13" ht="12" customHeight="1" x14ac:dyDescent="0.2">
      <c r="A62" s="120" t="s">
        <v>978</v>
      </c>
      <c r="B62" s="121" t="s">
        <v>979</v>
      </c>
      <c r="C62" s="121" t="s">
        <v>980</v>
      </c>
      <c r="D62" s="154">
        <v>0.04</v>
      </c>
      <c r="E62" s="154">
        <f t="shared" si="0"/>
        <v>4.0065748921306751E-2</v>
      </c>
      <c r="F62" s="155">
        <f t="shared" si="1"/>
        <v>7416.222697117204</v>
      </c>
      <c r="G62" s="156">
        <f t="shared" si="2"/>
        <v>2472.0742323724012</v>
      </c>
      <c r="H62" s="122">
        <v>2194</v>
      </c>
      <c r="I62" s="124">
        <f t="shared" si="3"/>
        <v>278.07423237240118</v>
      </c>
      <c r="L62" s="171" t="s">
        <v>981</v>
      </c>
    </row>
    <row r="63" spans="1:13" ht="12" customHeight="1" x14ac:dyDescent="0.2">
      <c r="A63" s="120" t="s">
        <v>982</v>
      </c>
      <c r="B63" s="121" t="s">
        <v>983</v>
      </c>
      <c r="C63" s="121" t="s">
        <v>984</v>
      </c>
      <c r="D63" s="154">
        <v>0.01</v>
      </c>
      <c r="E63" s="154">
        <f t="shared" si="0"/>
        <v>1.0016437230326688E-2</v>
      </c>
      <c r="F63" s="155">
        <f t="shared" si="1"/>
        <v>1854.055674279301</v>
      </c>
      <c r="G63" s="156">
        <f t="shared" si="2"/>
        <v>618.0185580931003</v>
      </c>
      <c r="H63" s="122">
        <v>439</v>
      </c>
      <c r="I63" s="124">
        <f t="shared" si="3"/>
        <v>179.0185580931003</v>
      </c>
    </row>
    <row r="64" spans="1:13" s="170" customFormat="1" ht="12" customHeight="1" x14ac:dyDescent="0.2">
      <c r="A64" s="163" t="s">
        <v>985</v>
      </c>
      <c r="B64" s="164"/>
      <c r="C64" s="164"/>
      <c r="D64" s="165"/>
      <c r="E64" s="165">
        <v>0</v>
      </c>
      <c r="F64" s="166">
        <f t="shared" si="1"/>
        <v>0</v>
      </c>
      <c r="G64" s="167">
        <f t="shared" si="2"/>
        <v>0</v>
      </c>
      <c r="H64" s="168"/>
      <c r="I64" s="169"/>
      <c r="J64" s="170" t="s">
        <v>986</v>
      </c>
      <c r="M64" s="173">
        <f>(D193*0.025)/12*6</f>
        <v>75226.112756000002</v>
      </c>
    </row>
    <row r="65" spans="1:9" ht="12" customHeight="1" x14ac:dyDescent="0.2">
      <c r="A65" s="120" t="s">
        <v>987</v>
      </c>
      <c r="B65" s="121" t="s">
        <v>988</v>
      </c>
      <c r="C65" s="121" t="s">
        <v>989</v>
      </c>
      <c r="D65" s="154">
        <v>3.0000000000000001E-3</v>
      </c>
      <c r="E65" s="154">
        <f t="shared" si="0"/>
        <v>3.0049311690980066E-3</v>
      </c>
      <c r="F65" s="155">
        <f t="shared" si="1"/>
        <v>556.21670228379037</v>
      </c>
      <c r="G65" s="156">
        <f t="shared" si="2"/>
        <v>185.40556742793012</v>
      </c>
      <c r="H65" s="122">
        <v>220</v>
      </c>
      <c r="I65" s="124">
        <f t="shared" si="3"/>
        <v>-34.594432572069877</v>
      </c>
    </row>
    <row r="66" spans="1:9" ht="12" customHeight="1" x14ac:dyDescent="0.2">
      <c r="A66" s="120" t="s">
        <v>990</v>
      </c>
      <c r="B66" s="121" t="s">
        <v>991</v>
      </c>
      <c r="C66" s="121" t="s">
        <v>992</v>
      </c>
      <c r="D66" s="154">
        <v>0.51900000000000002</v>
      </c>
      <c r="E66" s="154">
        <f t="shared" si="0"/>
        <v>0.51985309225395515</v>
      </c>
      <c r="F66" s="155">
        <f t="shared" si="1"/>
        <v>96225.489495095739</v>
      </c>
      <c r="G66" s="156">
        <f t="shared" si="2"/>
        <v>32075.163165031914</v>
      </c>
      <c r="H66" s="122">
        <v>31047</v>
      </c>
      <c r="I66" s="124">
        <f t="shared" si="3"/>
        <v>1028.1631650319141</v>
      </c>
    </row>
    <row r="67" spans="1:9" ht="12" customHeight="1" x14ac:dyDescent="0.2">
      <c r="A67" s="120" t="s">
        <v>993</v>
      </c>
      <c r="B67" s="121" t="s">
        <v>994</v>
      </c>
      <c r="C67" s="121" t="s">
        <v>995</v>
      </c>
      <c r="D67" s="154">
        <v>5.593</v>
      </c>
      <c r="E67" s="154">
        <f t="shared" si="0"/>
        <v>5.6021933429217166</v>
      </c>
      <c r="F67" s="155">
        <f t="shared" si="1"/>
        <v>1036973.338624413</v>
      </c>
      <c r="G67" s="156">
        <f t="shared" si="2"/>
        <v>345657.77954147098</v>
      </c>
      <c r="H67" s="122">
        <v>335859</v>
      </c>
      <c r="I67" s="124">
        <f t="shared" si="3"/>
        <v>9798.7795414709835</v>
      </c>
    </row>
    <row r="68" spans="1:9" ht="12" customHeight="1" x14ac:dyDescent="0.2">
      <c r="A68" s="120" t="s">
        <v>996</v>
      </c>
      <c r="B68" s="121" t="s">
        <v>997</v>
      </c>
      <c r="C68" s="121" t="s">
        <v>998</v>
      </c>
      <c r="D68" s="154">
        <v>0.02</v>
      </c>
      <c r="E68" s="154">
        <f t="shared" si="0"/>
        <v>2.0032874460653376E-2</v>
      </c>
      <c r="F68" s="155">
        <f t="shared" si="1"/>
        <v>3708.111348558602</v>
      </c>
      <c r="G68" s="156">
        <f t="shared" si="2"/>
        <v>1236.0371161862006</v>
      </c>
      <c r="H68" s="122">
        <v>768</v>
      </c>
      <c r="I68" s="124">
        <f t="shared" si="3"/>
        <v>468.03711618620059</v>
      </c>
    </row>
    <row r="69" spans="1:9" ht="12" customHeight="1" x14ac:dyDescent="0.2">
      <c r="A69" s="120" t="s">
        <v>999</v>
      </c>
      <c r="B69" s="121" t="s">
        <v>1000</v>
      </c>
      <c r="C69" s="121" t="s">
        <v>1001</v>
      </c>
      <c r="D69" s="154">
        <v>1E-3</v>
      </c>
      <c r="E69" s="154">
        <f t="shared" si="0"/>
        <v>1.0016437230326689E-3</v>
      </c>
      <c r="F69" s="155">
        <f t="shared" si="1"/>
        <v>185.40556742793012</v>
      </c>
      <c r="G69" s="156">
        <f t="shared" si="2"/>
        <v>61.801855809310041</v>
      </c>
      <c r="H69" s="122">
        <v>55</v>
      </c>
      <c r="I69" s="124">
        <f t="shared" si="3"/>
        <v>6.801855809310041</v>
      </c>
    </row>
    <row r="70" spans="1:9" ht="12" customHeight="1" x14ac:dyDescent="0.2">
      <c r="A70" s="120" t="s">
        <v>1002</v>
      </c>
      <c r="B70" s="121" t="s">
        <v>1003</v>
      </c>
      <c r="C70" s="121" t="s">
        <v>1004</v>
      </c>
      <c r="D70" s="154">
        <v>7.0000000000000001E-3</v>
      </c>
      <c r="E70" s="154">
        <f t="shared" si="0"/>
        <v>7.0115060612286825E-3</v>
      </c>
      <c r="F70" s="155">
        <f t="shared" si="1"/>
        <v>1297.838971995511</v>
      </c>
      <c r="G70" s="156">
        <f t="shared" si="2"/>
        <v>432.61299066517034</v>
      </c>
      <c r="H70" s="122">
        <v>329</v>
      </c>
      <c r="I70" s="124">
        <f t="shared" si="3"/>
        <v>103.61299066517034</v>
      </c>
    </row>
    <row r="71" spans="1:9" ht="12" customHeight="1" x14ac:dyDescent="0.2">
      <c r="A71" s="120" t="s">
        <v>1005</v>
      </c>
      <c r="B71" s="121" t="s">
        <v>1006</v>
      </c>
      <c r="C71" s="121" t="s">
        <v>1007</v>
      </c>
      <c r="D71" s="154">
        <v>7.141</v>
      </c>
      <c r="E71" s="154">
        <f t="shared" si="0"/>
        <v>7.1527378261762884</v>
      </c>
      <c r="F71" s="155">
        <f t="shared" si="1"/>
        <v>1323981.157002849</v>
      </c>
      <c r="G71" s="156">
        <f t="shared" si="2"/>
        <v>441327.05233428301</v>
      </c>
      <c r="H71" s="122">
        <v>439804</v>
      </c>
      <c r="I71" s="124">
        <f t="shared" si="3"/>
        <v>1523.0523342830129</v>
      </c>
    </row>
    <row r="72" spans="1:9" ht="12" customHeight="1" x14ac:dyDescent="0.2">
      <c r="A72" s="120" t="s">
        <v>1008</v>
      </c>
      <c r="B72" s="121" t="s">
        <v>1009</v>
      </c>
      <c r="C72" s="121" t="s">
        <v>1010</v>
      </c>
      <c r="D72" s="154">
        <v>1.4E-2</v>
      </c>
      <c r="E72" s="154">
        <f t="shared" si="0"/>
        <v>1.4023012122457365E-2</v>
      </c>
      <c r="F72" s="155">
        <f t="shared" si="1"/>
        <v>2595.6779439910219</v>
      </c>
      <c r="G72" s="156">
        <f t="shared" si="2"/>
        <v>865.22598133034069</v>
      </c>
      <c r="H72" s="122">
        <v>329</v>
      </c>
      <c r="I72" s="124">
        <f t="shared" si="3"/>
        <v>536.22598133034069</v>
      </c>
    </row>
    <row r="73" spans="1:9" ht="12" customHeight="1" x14ac:dyDescent="0.2">
      <c r="A73" s="120" t="s">
        <v>1011</v>
      </c>
      <c r="B73" s="121" t="s">
        <v>1012</v>
      </c>
      <c r="C73" s="121" t="s">
        <v>1013</v>
      </c>
      <c r="D73" s="154">
        <v>0.63800000000000001</v>
      </c>
      <c r="E73" s="154">
        <f t="shared" si="0"/>
        <v>0.63904869529484276</v>
      </c>
      <c r="F73" s="155">
        <f t="shared" si="1"/>
        <v>118288.75201901942</v>
      </c>
      <c r="G73" s="156">
        <f t="shared" si="2"/>
        <v>39429.584006339806</v>
      </c>
      <c r="H73" s="122">
        <v>37903</v>
      </c>
      <c r="I73" s="124">
        <f t="shared" si="3"/>
        <v>1526.5840063398064</v>
      </c>
    </row>
    <row r="74" spans="1:9" ht="12" customHeight="1" x14ac:dyDescent="0.2">
      <c r="A74" s="120" t="s">
        <v>1014</v>
      </c>
      <c r="B74" s="121" t="s">
        <v>1015</v>
      </c>
      <c r="C74" s="121" t="s">
        <v>1016</v>
      </c>
      <c r="D74" s="154">
        <v>1E-3</v>
      </c>
      <c r="E74" s="154">
        <f t="shared" si="0"/>
        <v>1.0016437230326689E-3</v>
      </c>
      <c r="F74" s="155">
        <f t="shared" si="1"/>
        <v>185.40556742793012</v>
      </c>
      <c r="G74" s="156">
        <f t="shared" si="2"/>
        <v>61.801855809310041</v>
      </c>
      <c r="H74" s="122">
        <v>55</v>
      </c>
      <c r="I74" s="124">
        <f t="shared" si="3"/>
        <v>6.801855809310041</v>
      </c>
    </row>
    <row r="75" spans="1:9" ht="12" customHeight="1" x14ac:dyDescent="0.2">
      <c r="A75" s="120" t="s">
        <v>1017</v>
      </c>
      <c r="B75" s="121" t="s">
        <v>1018</v>
      </c>
      <c r="C75" s="121" t="s">
        <v>1019</v>
      </c>
      <c r="D75" s="154">
        <v>2.8000000000000001E-2</v>
      </c>
      <c r="E75" s="154">
        <f t="shared" ref="E75:E140" si="4">D75*(100-22)/($D$188-22)</f>
        <v>2.804602424491473E-2</v>
      </c>
      <c r="F75" s="155">
        <f t="shared" ref="F75:F139" si="5">(E75*$D$195/100)</f>
        <v>5191.3558879820439</v>
      </c>
      <c r="G75" s="156">
        <f t="shared" ref="G75:G139" si="6">(F75/3)</f>
        <v>1730.4519626606814</v>
      </c>
      <c r="H75" s="122">
        <v>1536</v>
      </c>
      <c r="I75" s="124">
        <f t="shared" ref="I75:I140" si="7">G75-H75</f>
        <v>194.45196266068137</v>
      </c>
    </row>
    <row r="76" spans="1:9" ht="12" customHeight="1" x14ac:dyDescent="0.2">
      <c r="A76" s="120" t="s">
        <v>1020</v>
      </c>
      <c r="B76" s="121" t="s">
        <v>1021</v>
      </c>
      <c r="C76" s="121" t="s">
        <v>1022</v>
      </c>
      <c r="D76" s="154">
        <v>1E-3</v>
      </c>
      <c r="E76" s="154">
        <f t="shared" si="4"/>
        <v>1.0016437230326689E-3</v>
      </c>
      <c r="F76" s="155">
        <f t="shared" si="5"/>
        <v>185.40556742793012</v>
      </c>
      <c r="G76" s="156">
        <f t="shared" si="6"/>
        <v>61.801855809310041</v>
      </c>
      <c r="H76" s="122">
        <v>110</v>
      </c>
      <c r="I76" s="124">
        <f t="shared" si="7"/>
        <v>-48.198144190689959</v>
      </c>
    </row>
    <row r="77" spans="1:9" ht="12" customHeight="1" x14ac:dyDescent="0.2">
      <c r="A77" s="120" t="s">
        <v>1023</v>
      </c>
      <c r="B77" s="121" t="s">
        <v>1024</v>
      </c>
      <c r="C77" s="121" t="s">
        <v>1025</v>
      </c>
      <c r="D77" s="154">
        <v>1E-3</v>
      </c>
      <c r="E77" s="154">
        <f t="shared" si="4"/>
        <v>1.0016437230326689E-3</v>
      </c>
      <c r="F77" s="155">
        <f t="shared" si="5"/>
        <v>185.40556742793012</v>
      </c>
      <c r="G77" s="156">
        <f t="shared" si="6"/>
        <v>61.801855809310041</v>
      </c>
      <c r="H77" s="122">
        <v>55</v>
      </c>
      <c r="I77" s="124">
        <f t="shared" si="7"/>
        <v>6.801855809310041</v>
      </c>
    </row>
    <row r="78" spans="1:9" ht="12" customHeight="1" x14ac:dyDescent="0.2">
      <c r="A78" s="120" t="s">
        <v>1026</v>
      </c>
      <c r="B78" s="121" t="s">
        <v>1027</v>
      </c>
      <c r="C78" s="121" t="s">
        <v>1028</v>
      </c>
      <c r="D78" s="154">
        <v>1E-3</v>
      </c>
      <c r="E78" s="154">
        <f t="shared" si="4"/>
        <v>1.0016437230326689E-3</v>
      </c>
      <c r="F78" s="155">
        <f t="shared" si="5"/>
        <v>185.40556742793012</v>
      </c>
      <c r="G78" s="156">
        <f t="shared" si="6"/>
        <v>61.801855809310041</v>
      </c>
      <c r="H78" s="122">
        <v>55</v>
      </c>
      <c r="I78" s="124">
        <f t="shared" si="7"/>
        <v>6.801855809310041</v>
      </c>
    </row>
    <row r="79" spans="1:9" ht="12" customHeight="1" x14ac:dyDescent="0.2">
      <c r="A79" s="120" t="s">
        <v>1029</v>
      </c>
      <c r="B79" s="121" t="s">
        <v>1030</v>
      </c>
      <c r="C79" s="121" t="s">
        <v>1031</v>
      </c>
      <c r="D79" s="154">
        <v>8.0000000000000002E-3</v>
      </c>
      <c r="E79" s="154">
        <f t="shared" si="4"/>
        <v>8.013149784261351E-3</v>
      </c>
      <c r="F79" s="155">
        <f t="shared" si="5"/>
        <v>1483.244539423441</v>
      </c>
      <c r="G79" s="156">
        <f t="shared" si="6"/>
        <v>494.41484647448033</v>
      </c>
      <c r="H79" s="122">
        <v>439</v>
      </c>
      <c r="I79" s="124">
        <f t="shared" si="7"/>
        <v>55.414846474480328</v>
      </c>
    </row>
    <row r="80" spans="1:9" ht="12" customHeight="1" x14ac:dyDescent="0.2">
      <c r="A80" s="120" t="s">
        <v>1032</v>
      </c>
      <c r="B80" s="121" t="s">
        <v>1033</v>
      </c>
      <c r="C80" s="121" t="s">
        <v>1034</v>
      </c>
      <c r="D80" s="154">
        <v>0.26600000000000001</v>
      </c>
      <c r="E80" s="154">
        <f t="shared" si="4"/>
        <v>0.26643723032668992</v>
      </c>
      <c r="F80" s="155">
        <f t="shared" si="5"/>
        <v>49317.880935829409</v>
      </c>
      <c r="G80" s="156">
        <f t="shared" si="6"/>
        <v>16439.29364527647</v>
      </c>
      <c r="H80" s="122">
        <v>15962</v>
      </c>
      <c r="I80" s="124">
        <f t="shared" si="7"/>
        <v>477.29364527646976</v>
      </c>
    </row>
    <row r="81" spans="1:9" ht="12" customHeight="1" x14ac:dyDescent="0.2">
      <c r="A81" s="120" t="s">
        <v>1035</v>
      </c>
      <c r="B81" s="121" t="s">
        <v>1036</v>
      </c>
      <c r="C81" s="121" t="s">
        <v>1037</v>
      </c>
      <c r="D81" s="154">
        <v>2.7E-2</v>
      </c>
      <c r="E81" s="154">
        <f t="shared" si="4"/>
        <v>2.7044380521882055E-2</v>
      </c>
      <c r="F81" s="155">
        <f t="shared" si="5"/>
        <v>5005.9503205541123</v>
      </c>
      <c r="G81" s="156">
        <f t="shared" si="6"/>
        <v>1668.6501068513708</v>
      </c>
      <c r="H81" s="122">
        <v>2304</v>
      </c>
      <c r="I81" s="124">
        <f t="shared" si="7"/>
        <v>-635.34989314862923</v>
      </c>
    </row>
    <row r="82" spans="1:9" ht="12" customHeight="1" x14ac:dyDescent="0.2">
      <c r="A82" s="120" t="s">
        <v>1038</v>
      </c>
      <c r="B82" s="121" t="s">
        <v>1039</v>
      </c>
      <c r="C82" s="121" t="s">
        <v>1040</v>
      </c>
      <c r="D82" s="154">
        <v>0.66600000000000004</v>
      </c>
      <c r="E82" s="154">
        <f t="shared" si="4"/>
        <v>0.66709471953975741</v>
      </c>
      <c r="F82" s="155">
        <f t="shared" si="5"/>
        <v>123480.10790700145</v>
      </c>
      <c r="G82" s="156">
        <f t="shared" si="6"/>
        <v>41160.035969000484</v>
      </c>
      <c r="H82" s="122">
        <v>29291</v>
      </c>
      <c r="I82" s="124">
        <f t="shared" si="7"/>
        <v>11869.035969000484</v>
      </c>
    </row>
    <row r="83" spans="1:9" ht="12" customHeight="1" x14ac:dyDescent="0.2">
      <c r="A83" s="120" t="s">
        <v>1041</v>
      </c>
      <c r="B83" s="121" t="s">
        <v>1042</v>
      </c>
      <c r="C83" s="121" t="s">
        <v>1043</v>
      </c>
      <c r="D83" s="154">
        <v>0.34599999999999997</v>
      </c>
      <c r="E83" s="154">
        <f t="shared" si="4"/>
        <v>0.3465687281693034</v>
      </c>
      <c r="F83" s="155">
        <f t="shared" si="5"/>
        <v>64150.326330063821</v>
      </c>
      <c r="G83" s="156">
        <f t="shared" si="6"/>
        <v>21383.442110021275</v>
      </c>
      <c r="H83" s="122">
        <v>13055</v>
      </c>
      <c r="I83" s="124">
        <f t="shared" si="7"/>
        <v>8328.4421100212749</v>
      </c>
    </row>
    <row r="84" spans="1:9" ht="12" customHeight="1" x14ac:dyDescent="0.2">
      <c r="A84" s="120" t="s">
        <v>1044</v>
      </c>
      <c r="B84" s="121" t="s">
        <v>1045</v>
      </c>
      <c r="C84" s="121" t="s">
        <v>1046</v>
      </c>
      <c r="D84" s="154">
        <v>0.35599999999999998</v>
      </c>
      <c r="E84" s="154">
        <f t="shared" si="4"/>
        <v>0.35658516539963009</v>
      </c>
      <c r="F84" s="155">
        <f t="shared" si="5"/>
        <v>66004.382004343119</v>
      </c>
      <c r="G84" s="156">
        <f t="shared" si="6"/>
        <v>22001.460668114374</v>
      </c>
      <c r="H84" s="122">
        <v>12781</v>
      </c>
      <c r="I84" s="124">
        <f t="shared" si="7"/>
        <v>9220.4606681143741</v>
      </c>
    </row>
    <row r="85" spans="1:9" ht="12" customHeight="1" x14ac:dyDescent="0.2">
      <c r="A85" s="120" t="s">
        <v>1047</v>
      </c>
      <c r="B85" s="121" t="s">
        <v>1048</v>
      </c>
      <c r="C85" s="121" t="s">
        <v>1049</v>
      </c>
      <c r="D85" s="154">
        <v>0.41799999999999998</v>
      </c>
      <c r="E85" s="154">
        <f t="shared" si="4"/>
        <v>0.41868707622765555</v>
      </c>
      <c r="F85" s="155">
        <f t="shared" si="5"/>
        <v>77499.52718487478</v>
      </c>
      <c r="G85" s="156">
        <f t="shared" si="6"/>
        <v>25833.175728291593</v>
      </c>
      <c r="H85" s="122">
        <v>27317</v>
      </c>
      <c r="I85" s="124">
        <f t="shared" si="7"/>
        <v>-1483.8242717084067</v>
      </c>
    </row>
    <row r="86" spans="1:9" ht="12" customHeight="1" x14ac:dyDescent="0.2">
      <c r="A86" s="120" t="s">
        <v>1050</v>
      </c>
      <c r="B86" s="121" t="s">
        <v>1051</v>
      </c>
      <c r="C86" s="121" t="s">
        <v>1052</v>
      </c>
      <c r="D86" s="154">
        <v>0.39600000000000002</v>
      </c>
      <c r="E86" s="154">
        <f t="shared" si="4"/>
        <v>0.39665091432093685</v>
      </c>
      <c r="F86" s="155">
        <f t="shared" si="5"/>
        <v>73420.604701460325</v>
      </c>
      <c r="G86" s="156">
        <f t="shared" si="6"/>
        <v>24473.534900486775</v>
      </c>
      <c r="H86" s="122">
        <v>21063</v>
      </c>
      <c r="I86" s="124">
        <f t="shared" si="7"/>
        <v>3410.5349004867749</v>
      </c>
    </row>
    <row r="87" spans="1:9" ht="12" customHeight="1" x14ac:dyDescent="0.2">
      <c r="A87" s="120" t="s">
        <v>1053</v>
      </c>
      <c r="B87" s="121" t="s">
        <v>1054</v>
      </c>
      <c r="C87" s="121" t="s">
        <v>1055</v>
      </c>
      <c r="D87" s="154">
        <v>4.4480000000000004</v>
      </c>
      <c r="E87" s="154">
        <f t="shared" si="4"/>
        <v>4.4553112800493109</v>
      </c>
      <c r="F87" s="155">
        <f t="shared" si="5"/>
        <v>824683.96391943307</v>
      </c>
      <c r="G87" s="156">
        <f t="shared" si="6"/>
        <v>274894.65463981102</v>
      </c>
      <c r="H87" s="122">
        <v>274206</v>
      </c>
      <c r="I87" s="124">
        <f t="shared" si="7"/>
        <v>688.65463981102221</v>
      </c>
    </row>
    <row r="88" spans="1:9" ht="12" customHeight="1" x14ac:dyDescent="0.2">
      <c r="A88" s="120" t="s">
        <v>1056</v>
      </c>
      <c r="B88" s="121" t="s">
        <v>1057</v>
      </c>
      <c r="C88" s="121" t="s">
        <v>1058</v>
      </c>
      <c r="D88" s="154">
        <v>1.0999999999999999E-2</v>
      </c>
      <c r="E88" s="154">
        <f t="shared" si="4"/>
        <v>1.1018080953359356E-2</v>
      </c>
      <c r="F88" s="155">
        <f t="shared" si="5"/>
        <v>2039.461241707231</v>
      </c>
      <c r="G88" s="156">
        <f t="shared" si="6"/>
        <v>679.82041390241034</v>
      </c>
      <c r="H88" s="122">
        <v>768</v>
      </c>
      <c r="I88" s="124">
        <f t="shared" si="7"/>
        <v>-88.179586097589663</v>
      </c>
    </row>
    <row r="89" spans="1:9" ht="12" customHeight="1" x14ac:dyDescent="0.2">
      <c r="A89" s="120" t="s">
        <v>1059</v>
      </c>
      <c r="B89" s="121" t="s">
        <v>1060</v>
      </c>
      <c r="C89" s="121" t="s">
        <v>1061</v>
      </c>
      <c r="D89" s="154">
        <v>10.833</v>
      </c>
      <c r="E89" s="154">
        <f t="shared" si="4"/>
        <v>10.850806451612902</v>
      </c>
      <c r="F89" s="155">
        <f t="shared" si="5"/>
        <v>2008498.5119467669</v>
      </c>
      <c r="G89" s="156">
        <f t="shared" si="6"/>
        <v>669499.50398225558</v>
      </c>
      <c r="H89" s="122">
        <v>687296</v>
      </c>
      <c r="I89" s="124">
        <f t="shared" si="7"/>
        <v>-17796.496017744415</v>
      </c>
    </row>
    <row r="90" spans="1:9" ht="12" customHeight="1" x14ac:dyDescent="0.2">
      <c r="A90" s="120" t="s">
        <v>1062</v>
      </c>
      <c r="B90" s="121" t="s">
        <v>1063</v>
      </c>
      <c r="C90" s="121" t="s">
        <v>1064</v>
      </c>
      <c r="D90" s="154">
        <v>2.1999999999999999E-2</v>
      </c>
      <c r="E90" s="154">
        <f t="shared" si="4"/>
        <v>2.2036161906718713E-2</v>
      </c>
      <c r="F90" s="155">
        <f t="shared" si="5"/>
        <v>4078.922483414462</v>
      </c>
      <c r="G90" s="156">
        <f t="shared" si="6"/>
        <v>1359.6408278048207</v>
      </c>
      <c r="H90" s="122">
        <v>768</v>
      </c>
      <c r="I90" s="124">
        <f t="shared" si="7"/>
        <v>591.64082780482067</v>
      </c>
    </row>
    <row r="91" spans="1:9" ht="12" customHeight="1" x14ac:dyDescent="0.2">
      <c r="A91" s="120" t="s">
        <v>1065</v>
      </c>
      <c r="B91" s="121" t="s">
        <v>1066</v>
      </c>
      <c r="C91" s="121" t="s">
        <v>1067</v>
      </c>
      <c r="D91" s="154">
        <v>0.121</v>
      </c>
      <c r="E91" s="154">
        <f t="shared" si="4"/>
        <v>0.12119889048695291</v>
      </c>
      <c r="F91" s="155">
        <f t="shared" si="5"/>
        <v>22434.07365877954</v>
      </c>
      <c r="G91" s="156">
        <f t="shared" si="6"/>
        <v>7478.024552926513</v>
      </c>
      <c r="H91" s="122">
        <v>4169</v>
      </c>
      <c r="I91" s="124">
        <f t="shared" si="7"/>
        <v>3309.024552926513</v>
      </c>
    </row>
    <row r="92" spans="1:9" ht="12" customHeight="1" x14ac:dyDescent="0.2">
      <c r="A92" s="120" t="s">
        <v>1068</v>
      </c>
      <c r="B92" s="121" t="s">
        <v>1069</v>
      </c>
      <c r="C92" s="121" t="s">
        <v>1070</v>
      </c>
      <c r="D92" s="154">
        <v>1.2999999999999999E-2</v>
      </c>
      <c r="E92" s="154">
        <f t="shared" si="4"/>
        <v>1.3021368399424695E-2</v>
      </c>
      <c r="F92" s="155">
        <f t="shared" si="5"/>
        <v>2410.2723765630917</v>
      </c>
      <c r="G92" s="156">
        <f t="shared" si="6"/>
        <v>803.42412552103053</v>
      </c>
      <c r="H92" s="122">
        <v>658</v>
      </c>
      <c r="I92" s="124">
        <f t="shared" si="7"/>
        <v>145.42412552103053</v>
      </c>
    </row>
    <row r="93" spans="1:9" ht="12" customHeight="1" x14ac:dyDescent="0.2">
      <c r="A93" s="120" t="s">
        <v>1071</v>
      </c>
      <c r="B93" s="121" t="s">
        <v>1072</v>
      </c>
      <c r="C93" s="121" t="s">
        <v>1073</v>
      </c>
      <c r="D93" s="154">
        <v>0.27300000000000002</v>
      </c>
      <c r="E93" s="154">
        <f t="shared" si="4"/>
        <v>0.27344873638791861</v>
      </c>
      <c r="F93" s="155">
        <f t="shared" si="5"/>
        <v>50615.719907824925</v>
      </c>
      <c r="G93" s="156">
        <f t="shared" si="6"/>
        <v>16871.906635941643</v>
      </c>
      <c r="H93" s="122">
        <v>14426</v>
      </c>
      <c r="I93" s="124">
        <f t="shared" si="7"/>
        <v>2445.9066359416429</v>
      </c>
    </row>
    <row r="94" spans="1:9" ht="12" customHeight="1" x14ac:dyDescent="0.2">
      <c r="A94" s="120" t="s">
        <v>1074</v>
      </c>
      <c r="B94" s="126" t="s">
        <v>1075</v>
      </c>
      <c r="C94" s="126" t="s">
        <v>1076</v>
      </c>
      <c r="D94" s="154">
        <v>2E-3</v>
      </c>
      <c r="E94" s="154">
        <f t="shared" si="4"/>
        <v>2.0032874460653377E-3</v>
      </c>
      <c r="F94" s="155">
        <f t="shared" si="5"/>
        <v>370.81113485586025</v>
      </c>
      <c r="G94" s="156">
        <f t="shared" si="6"/>
        <v>123.60371161862008</v>
      </c>
      <c r="H94" s="122">
        <v>55</v>
      </c>
      <c r="I94" s="124">
        <f t="shared" si="7"/>
        <v>68.603711618620082</v>
      </c>
    </row>
    <row r="95" spans="1:9" ht="12" customHeight="1" x14ac:dyDescent="0.2">
      <c r="A95" s="120" t="s">
        <v>1077</v>
      </c>
      <c r="B95" s="121" t="s">
        <v>1078</v>
      </c>
      <c r="C95" s="121" t="s">
        <v>1079</v>
      </c>
      <c r="D95" s="154">
        <v>2E-3</v>
      </c>
      <c r="E95" s="154">
        <f t="shared" si="4"/>
        <v>2.0032874460653377E-3</v>
      </c>
      <c r="F95" s="155">
        <f t="shared" si="5"/>
        <v>370.81113485586025</v>
      </c>
      <c r="G95" s="156">
        <f t="shared" si="6"/>
        <v>123.60371161862008</v>
      </c>
      <c r="H95" s="122">
        <v>55</v>
      </c>
      <c r="I95" s="124">
        <f t="shared" si="7"/>
        <v>68.603711618620082</v>
      </c>
    </row>
    <row r="96" spans="1:9" ht="12" customHeight="1" x14ac:dyDescent="0.2">
      <c r="A96" s="120" t="s">
        <v>1080</v>
      </c>
      <c r="B96" s="121" t="s">
        <v>1081</v>
      </c>
      <c r="C96" s="121" t="s">
        <v>1082</v>
      </c>
      <c r="D96" s="154">
        <v>4.7E-2</v>
      </c>
      <c r="E96" s="154">
        <f t="shared" si="4"/>
        <v>4.7077254982535434E-2</v>
      </c>
      <c r="F96" s="155">
        <f t="shared" si="5"/>
        <v>8714.0616691127143</v>
      </c>
      <c r="G96" s="156">
        <f t="shared" si="6"/>
        <v>2904.6872230375716</v>
      </c>
      <c r="H96" s="122">
        <v>2085</v>
      </c>
      <c r="I96" s="124">
        <f t="shared" si="7"/>
        <v>819.68722303757158</v>
      </c>
    </row>
    <row r="97" spans="1:9" ht="12" customHeight="1" x14ac:dyDescent="0.2">
      <c r="A97" s="120" t="s">
        <v>1083</v>
      </c>
      <c r="B97" s="121"/>
      <c r="C97" s="121"/>
      <c r="D97" s="154">
        <v>4.2000000000000003E-2</v>
      </c>
      <c r="E97" s="154">
        <f t="shared" si="4"/>
        <v>4.2069036367372095E-2</v>
      </c>
      <c r="F97" s="155">
        <f t="shared" si="5"/>
        <v>7787.0338319730654</v>
      </c>
      <c r="G97" s="156">
        <f t="shared" si="6"/>
        <v>2595.6779439910219</v>
      </c>
      <c r="H97" s="122">
        <v>0</v>
      </c>
      <c r="I97" s="124">
        <v>0</v>
      </c>
    </row>
    <row r="98" spans="1:9" ht="12" customHeight="1" x14ac:dyDescent="0.2">
      <c r="A98" s="120" t="s">
        <v>1084</v>
      </c>
      <c r="B98" s="121" t="s">
        <v>1085</v>
      </c>
      <c r="C98" s="121" t="s">
        <v>1086</v>
      </c>
      <c r="D98" s="154">
        <v>1E-3</v>
      </c>
      <c r="E98" s="154">
        <f t="shared" si="4"/>
        <v>1.0016437230326689E-3</v>
      </c>
      <c r="F98" s="155">
        <f t="shared" si="5"/>
        <v>185.40556742793012</v>
      </c>
      <c r="G98" s="156">
        <f t="shared" si="6"/>
        <v>61.801855809310041</v>
      </c>
      <c r="H98" s="122">
        <v>55</v>
      </c>
      <c r="I98" s="124">
        <f t="shared" si="7"/>
        <v>6.801855809310041</v>
      </c>
    </row>
    <row r="99" spans="1:9" ht="12" customHeight="1" x14ac:dyDescent="0.2">
      <c r="A99" s="120" t="s">
        <v>1087</v>
      </c>
      <c r="B99" s="121" t="s">
        <v>1088</v>
      </c>
      <c r="C99" s="121" t="s">
        <v>1089</v>
      </c>
      <c r="D99" s="154">
        <v>1E-3</v>
      </c>
      <c r="E99" s="154">
        <f t="shared" si="4"/>
        <v>1.0016437230326689E-3</v>
      </c>
      <c r="F99" s="155">
        <f t="shared" si="5"/>
        <v>185.40556742793012</v>
      </c>
      <c r="G99" s="156">
        <f t="shared" si="6"/>
        <v>61.801855809310041</v>
      </c>
      <c r="H99" s="122">
        <v>55</v>
      </c>
      <c r="I99" s="124">
        <f t="shared" si="7"/>
        <v>6.801855809310041</v>
      </c>
    </row>
    <row r="100" spans="1:9" ht="12" customHeight="1" x14ac:dyDescent="0.2">
      <c r="A100" s="120" t="s">
        <v>1090</v>
      </c>
      <c r="B100" s="121" t="s">
        <v>1091</v>
      </c>
      <c r="C100" s="121" t="s">
        <v>1092</v>
      </c>
      <c r="D100" s="154">
        <v>0.14199999999999999</v>
      </c>
      <c r="E100" s="154">
        <f t="shared" si="4"/>
        <v>0.14223340867063897</v>
      </c>
      <c r="F100" s="155">
        <f t="shared" si="5"/>
        <v>26327.590574766076</v>
      </c>
      <c r="G100" s="156">
        <f t="shared" si="6"/>
        <v>8775.863524922026</v>
      </c>
      <c r="H100" s="122">
        <v>7076</v>
      </c>
      <c r="I100" s="124">
        <f t="shared" si="7"/>
        <v>1699.863524922026</v>
      </c>
    </row>
    <row r="101" spans="1:9" ht="12" customHeight="1" x14ac:dyDescent="0.2">
      <c r="A101" s="120" t="s">
        <v>1093</v>
      </c>
      <c r="B101" s="121" t="s">
        <v>1094</v>
      </c>
      <c r="C101" s="121" t="s">
        <v>1095</v>
      </c>
      <c r="D101" s="154">
        <v>8.9999999999999993E-3</v>
      </c>
      <c r="E101" s="154">
        <f t="shared" si="4"/>
        <v>9.0147935072940194E-3</v>
      </c>
      <c r="F101" s="155">
        <f t="shared" si="5"/>
        <v>1668.650106851371</v>
      </c>
      <c r="G101" s="156">
        <f t="shared" si="6"/>
        <v>556.21670228379037</v>
      </c>
      <c r="H101" s="122">
        <v>494</v>
      </c>
      <c r="I101" s="124">
        <f t="shared" si="7"/>
        <v>62.216702283790369</v>
      </c>
    </row>
    <row r="102" spans="1:9" ht="12" customHeight="1" x14ac:dyDescent="0.2">
      <c r="A102" s="120" t="s">
        <v>1096</v>
      </c>
      <c r="B102" s="121" t="s">
        <v>1097</v>
      </c>
      <c r="C102" s="121" t="s">
        <v>1098</v>
      </c>
      <c r="D102" s="154">
        <v>7.2999999999999995E-2</v>
      </c>
      <c r="E102" s="154">
        <f t="shared" si="4"/>
        <v>7.3119991781384827E-2</v>
      </c>
      <c r="F102" s="155">
        <f t="shared" si="5"/>
        <v>13534.6064222389</v>
      </c>
      <c r="G102" s="156">
        <f t="shared" si="6"/>
        <v>4511.5354740796329</v>
      </c>
      <c r="H102" s="122">
        <v>3566</v>
      </c>
      <c r="I102" s="124">
        <f t="shared" si="7"/>
        <v>945.53547407963288</v>
      </c>
    </row>
    <row r="103" spans="1:9" ht="12" customHeight="1" x14ac:dyDescent="0.2">
      <c r="A103" s="120" t="s">
        <v>1099</v>
      </c>
      <c r="B103" s="121" t="s">
        <v>1100</v>
      </c>
      <c r="C103" s="121" t="s">
        <v>1101</v>
      </c>
      <c r="D103" s="154">
        <v>8.1000000000000003E-2</v>
      </c>
      <c r="E103" s="154">
        <f t="shared" si="4"/>
        <v>8.1133141565646175E-2</v>
      </c>
      <c r="F103" s="155">
        <f t="shared" si="5"/>
        <v>15017.850961662338</v>
      </c>
      <c r="G103" s="156">
        <f t="shared" si="6"/>
        <v>5005.9503205541123</v>
      </c>
      <c r="H103" s="122">
        <v>4937</v>
      </c>
      <c r="I103" s="124">
        <f t="shared" si="7"/>
        <v>68.950320554112295</v>
      </c>
    </row>
    <row r="104" spans="1:9" ht="12" customHeight="1" x14ac:dyDescent="0.2">
      <c r="A104" s="120" t="s">
        <v>1102</v>
      </c>
      <c r="B104" s="121" t="s">
        <v>1103</v>
      </c>
      <c r="C104" s="121" t="s">
        <v>1104</v>
      </c>
      <c r="D104" s="154">
        <v>3.0000000000000001E-3</v>
      </c>
      <c r="E104" s="154">
        <f t="shared" si="4"/>
        <v>3.0049311690980066E-3</v>
      </c>
      <c r="F104" s="155">
        <f t="shared" si="5"/>
        <v>556.21670228379037</v>
      </c>
      <c r="G104" s="156">
        <f t="shared" si="6"/>
        <v>185.40556742793012</v>
      </c>
      <c r="H104" s="122">
        <v>165</v>
      </c>
      <c r="I104" s="124">
        <f t="shared" si="7"/>
        <v>20.405567427930123</v>
      </c>
    </row>
    <row r="105" spans="1:9" ht="12" customHeight="1" x14ac:dyDescent="0.2">
      <c r="A105" s="120" t="s">
        <v>1105</v>
      </c>
      <c r="B105" s="121" t="s">
        <v>1106</v>
      </c>
      <c r="C105" s="121" t="s">
        <v>1107</v>
      </c>
      <c r="D105" s="154">
        <v>2E-3</v>
      </c>
      <c r="E105" s="154">
        <f t="shared" si="4"/>
        <v>2.0032874460653377E-3</v>
      </c>
      <c r="F105" s="155">
        <f t="shared" si="5"/>
        <v>370.81113485586025</v>
      </c>
      <c r="G105" s="156">
        <f t="shared" si="6"/>
        <v>123.60371161862008</v>
      </c>
      <c r="H105" s="122">
        <v>55</v>
      </c>
      <c r="I105" s="124">
        <f t="shared" si="7"/>
        <v>68.603711618620082</v>
      </c>
    </row>
    <row r="106" spans="1:9" ht="12" customHeight="1" x14ac:dyDescent="0.2">
      <c r="A106" s="120" t="s">
        <v>1108</v>
      </c>
      <c r="B106" s="121" t="s">
        <v>1109</v>
      </c>
      <c r="C106" s="121" t="s">
        <v>1110</v>
      </c>
      <c r="D106" s="154">
        <v>0.28100000000000003</v>
      </c>
      <c r="E106" s="154">
        <f t="shared" si="4"/>
        <v>0.28146188617217999</v>
      </c>
      <c r="F106" s="155">
        <f t="shared" si="5"/>
        <v>52098.964447248371</v>
      </c>
      <c r="G106" s="156">
        <f t="shared" si="6"/>
        <v>17366.321482416122</v>
      </c>
      <c r="H106" s="122">
        <v>13878</v>
      </c>
      <c r="I106" s="124">
        <f t="shared" si="7"/>
        <v>3488.3214824161223</v>
      </c>
    </row>
    <row r="107" spans="1:9" ht="12" customHeight="1" x14ac:dyDescent="0.2">
      <c r="A107" s="120" t="s">
        <v>1111</v>
      </c>
      <c r="B107" s="121" t="s">
        <v>1112</v>
      </c>
      <c r="C107" s="121" t="s">
        <v>1113</v>
      </c>
      <c r="D107" s="154">
        <v>4.0000000000000001E-3</v>
      </c>
      <c r="E107" s="154">
        <f t="shared" si="4"/>
        <v>4.0065748921306755E-3</v>
      </c>
      <c r="F107" s="155">
        <f t="shared" si="5"/>
        <v>741.62226971172049</v>
      </c>
      <c r="G107" s="156">
        <f t="shared" si="6"/>
        <v>247.20742323724016</v>
      </c>
      <c r="H107" s="122">
        <v>165</v>
      </c>
      <c r="I107" s="124">
        <f t="shared" si="7"/>
        <v>82.207423237240164</v>
      </c>
    </row>
    <row r="108" spans="1:9" s="150" customFormat="1" ht="12" customHeight="1" x14ac:dyDescent="0.2">
      <c r="A108" s="120" t="s">
        <v>1114</v>
      </c>
      <c r="B108" s="121"/>
      <c r="C108" s="121"/>
      <c r="D108" s="154">
        <v>1E-3</v>
      </c>
      <c r="E108" s="154">
        <f t="shared" si="4"/>
        <v>1.0016437230326689E-3</v>
      </c>
      <c r="F108" s="155">
        <f t="shared" si="5"/>
        <v>185.40556742793012</v>
      </c>
      <c r="G108" s="156">
        <f t="shared" si="6"/>
        <v>61.801855809310041</v>
      </c>
      <c r="H108" s="122">
        <v>0</v>
      </c>
      <c r="I108" s="124">
        <v>0</v>
      </c>
    </row>
    <row r="109" spans="1:9" ht="12" customHeight="1" x14ac:dyDescent="0.2">
      <c r="A109" s="120" t="s">
        <v>1115</v>
      </c>
      <c r="B109" s="121" t="s">
        <v>1116</v>
      </c>
      <c r="C109" s="121" t="s">
        <v>1117</v>
      </c>
      <c r="D109" s="154">
        <v>1.6E-2</v>
      </c>
      <c r="E109" s="154">
        <f t="shared" si="4"/>
        <v>1.6026299568522702E-2</v>
      </c>
      <c r="F109" s="155">
        <f t="shared" si="5"/>
        <v>2966.489078846882</v>
      </c>
      <c r="G109" s="156">
        <f t="shared" si="6"/>
        <v>988.82969294896066</v>
      </c>
      <c r="H109" s="122">
        <v>933</v>
      </c>
      <c r="I109" s="124">
        <f t="shared" si="7"/>
        <v>55.829692948960655</v>
      </c>
    </row>
    <row r="110" spans="1:9" ht="12" customHeight="1" x14ac:dyDescent="0.2">
      <c r="A110" s="120" t="s">
        <v>1118</v>
      </c>
      <c r="B110" s="121" t="s">
        <v>1119</v>
      </c>
      <c r="C110" s="121" t="s">
        <v>1120</v>
      </c>
      <c r="D110" s="154">
        <v>2E-3</v>
      </c>
      <c r="E110" s="154">
        <f t="shared" si="4"/>
        <v>2.0032874460653377E-3</v>
      </c>
      <c r="F110" s="155">
        <f t="shared" si="5"/>
        <v>370.81113485586025</v>
      </c>
      <c r="G110" s="156">
        <f t="shared" si="6"/>
        <v>123.60371161862008</v>
      </c>
      <c r="H110" s="122">
        <v>55</v>
      </c>
      <c r="I110" s="124">
        <f t="shared" si="7"/>
        <v>68.603711618620082</v>
      </c>
    </row>
    <row r="111" spans="1:9" ht="12" customHeight="1" x14ac:dyDescent="0.2">
      <c r="A111" s="120" t="s">
        <v>1121</v>
      </c>
      <c r="B111" s="121" t="s">
        <v>1122</v>
      </c>
      <c r="C111" s="121" t="s">
        <v>1123</v>
      </c>
      <c r="D111" s="154">
        <v>1.2999999999999999E-2</v>
      </c>
      <c r="E111" s="154">
        <f t="shared" si="4"/>
        <v>1.3021368399424695E-2</v>
      </c>
      <c r="F111" s="155">
        <f t="shared" si="5"/>
        <v>2410.2723765630917</v>
      </c>
      <c r="G111" s="156">
        <f t="shared" si="6"/>
        <v>803.42412552103053</v>
      </c>
      <c r="H111" s="122">
        <v>604</v>
      </c>
      <c r="I111" s="124">
        <f t="shared" si="7"/>
        <v>199.42412552103053</v>
      </c>
    </row>
    <row r="112" spans="1:9" ht="12" customHeight="1" x14ac:dyDescent="0.2">
      <c r="A112" s="120" t="s">
        <v>1124</v>
      </c>
      <c r="B112" s="121" t="s">
        <v>1125</v>
      </c>
      <c r="C112" s="121" t="s">
        <v>1126</v>
      </c>
      <c r="D112" s="154">
        <v>1.8420000000000001</v>
      </c>
      <c r="E112" s="154">
        <f t="shared" si="4"/>
        <v>1.8450277378261761</v>
      </c>
      <c r="F112" s="155">
        <f t="shared" si="5"/>
        <v>341517.05520224728</v>
      </c>
      <c r="G112" s="156">
        <f t="shared" si="6"/>
        <v>113839.01840074909</v>
      </c>
      <c r="H112" s="122">
        <v>129232</v>
      </c>
      <c r="I112" s="124">
        <f t="shared" si="7"/>
        <v>-15392.98159925091</v>
      </c>
    </row>
    <row r="113" spans="1:9" ht="12" customHeight="1" x14ac:dyDescent="0.2">
      <c r="A113" s="120" t="s">
        <v>1127</v>
      </c>
      <c r="B113" s="121" t="s">
        <v>1128</v>
      </c>
      <c r="C113" s="121" t="s">
        <v>1129</v>
      </c>
      <c r="D113" s="154">
        <v>1.2E-2</v>
      </c>
      <c r="E113" s="154">
        <f t="shared" si="4"/>
        <v>1.2019724676392026E-2</v>
      </c>
      <c r="F113" s="155">
        <f t="shared" si="5"/>
        <v>2224.8668091351615</v>
      </c>
      <c r="G113" s="156">
        <f t="shared" si="6"/>
        <v>741.62226971172049</v>
      </c>
      <c r="H113" s="122">
        <v>165</v>
      </c>
      <c r="I113" s="124">
        <f t="shared" si="7"/>
        <v>576.62226971172049</v>
      </c>
    </row>
    <row r="114" spans="1:9" ht="12" customHeight="1" x14ac:dyDescent="0.2">
      <c r="A114" s="120" t="s">
        <v>1130</v>
      </c>
      <c r="B114" s="121" t="s">
        <v>1131</v>
      </c>
      <c r="C114" s="121" t="s">
        <v>1132</v>
      </c>
      <c r="D114" s="154">
        <v>3.0000000000000001E-3</v>
      </c>
      <c r="E114" s="154">
        <f t="shared" si="4"/>
        <v>3.0049311690980066E-3</v>
      </c>
      <c r="F114" s="155">
        <f t="shared" si="5"/>
        <v>556.21670228379037</v>
      </c>
      <c r="G114" s="156">
        <f t="shared" si="6"/>
        <v>185.40556742793012</v>
      </c>
      <c r="H114" s="122">
        <v>110</v>
      </c>
      <c r="I114" s="124">
        <f t="shared" si="7"/>
        <v>75.405567427930123</v>
      </c>
    </row>
    <row r="115" spans="1:9" ht="12" customHeight="1" x14ac:dyDescent="0.2">
      <c r="A115" s="120" t="s">
        <v>1133</v>
      </c>
      <c r="B115" s="127" t="s">
        <v>1134</v>
      </c>
      <c r="C115" s="125" t="s">
        <v>1135</v>
      </c>
      <c r="D115" s="154">
        <v>5.0000000000000001E-3</v>
      </c>
      <c r="E115" s="154">
        <f t="shared" si="4"/>
        <v>5.0082186151633439E-3</v>
      </c>
      <c r="F115" s="155">
        <f t="shared" si="5"/>
        <v>927.0278371396505</v>
      </c>
      <c r="G115" s="156">
        <f t="shared" si="6"/>
        <v>309.00927904655015</v>
      </c>
      <c r="H115" s="122">
        <v>220</v>
      </c>
      <c r="I115" s="124">
        <f t="shared" si="7"/>
        <v>89.009279046550148</v>
      </c>
    </row>
    <row r="116" spans="1:9" ht="12" customHeight="1" x14ac:dyDescent="0.2">
      <c r="A116" s="120" t="s">
        <v>1136</v>
      </c>
      <c r="B116" s="121" t="s">
        <v>1137</v>
      </c>
      <c r="C116" s="121" t="s">
        <v>1138</v>
      </c>
      <c r="D116" s="154">
        <v>6.2E-2</v>
      </c>
      <c r="E116" s="154">
        <f t="shared" si="4"/>
        <v>6.2101910828025471E-2</v>
      </c>
      <c r="F116" s="155">
        <f t="shared" si="5"/>
        <v>11495.145180531668</v>
      </c>
      <c r="G116" s="156">
        <f t="shared" si="6"/>
        <v>3831.7150601772228</v>
      </c>
      <c r="H116" s="122">
        <v>3182</v>
      </c>
      <c r="I116" s="124">
        <f t="shared" si="7"/>
        <v>649.71506017722277</v>
      </c>
    </row>
    <row r="117" spans="1:9" ht="12" customHeight="1" x14ac:dyDescent="0.2">
      <c r="A117" s="120" t="s">
        <v>1139</v>
      </c>
      <c r="B117" s="121" t="s">
        <v>1140</v>
      </c>
      <c r="C117" s="121" t="s">
        <v>1141</v>
      </c>
      <c r="D117" s="154">
        <v>3.0000000000000001E-3</v>
      </c>
      <c r="E117" s="154">
        <f t="shared" si="4"/>
        <v>3.0049311690980066E-3</v>
      </c>
      <c r="F117" s="155">
        <f t="shared" si="5"/>
        <v>556.21670228379037</v>
      </c>
      <c r="G117" s="156">
        <f t="shared" si="6"/>
        <v>185.40556742793012</v>
      </c>
      <c r="H117" s="122">
        <v>165</v>
      </c>
      <c r="I117" s="124">
        <f t="shared" si="7"/>
        <v>20.405567427930123</v>
      </c>
    </row>
    <row r="118" spans="1:9" ht="12" customHeight="1" x14ac:dyDescent="0.2">
      <c r="A118" s="120" t="s">
        <v>1142</v>
      </c>
      <c r="B118" s="121" t="s">
        <v>1143</v>
      </c>
      <c r="C118" s="121" t="s">
        <v>1144</v>
      </c>
      <c r="D118" s="154">
        <v>0.01</v>
      </c>
      <c r="E118" s="154">
        <f t="shared" si="4"/>
        <v>1.0016437230326688E-2</v>
      </c>
      <c r="F118" s="155">
        <f t="shared" si="5"/>
        <v>1854.055674279301</v>
      </c>
      <c r="G118" s="156">
        <f t="shared" si="6"/>
        <v>618.0185580931003</v>
      </c>
      <c r="H118" s="122">
        <v>329</v>
      </c>
      <c r="I118" s="124">
        <f t="shared" si="7"/>
        <v>289.0185580931003</v>
      </c>
    </row>
    <row r="119" spans="1:9" ht="12" customHeight="1" x14ac:dyDescent="0.2">
      <c r="A119" s="120" t="s">
        <v>1145</v>
      </c>
      <c r="B119" s="121" t="s">
        <v>1146</v>
      </c>
      <c r="C119" s="121" t="s">
        <v>1147</v>
      </c>
      <c r="D119" s="154">
        <v>0.01</v>
      </c>
      <c r="E119" s="154">
        <f t="shared" si="4"/>
        <v>1.0016437230326688E-2</v>
      </c>
      <c r="F119" s="155">
        <f t="shared" si="5"/>
        <v>1854.055674279301</v>
      </c>
      <c r="G119" s="156">
        <f t="shared" si="6"/>
        <v>618.0185580931003</v>
      </c>
      <c r="H119" s="122">
        <v>439</v>
      </c>
      <c r="I119" s="124">
        <f t="shared" si="7"/>
        <v>179.0185580931003</v>
      </c>
    </row>
    <row r="120" spans="1:9" ht="12" customHeight="1" x14ac:dyDescent="0.2">
      <c r="A120" s="120" t="s">
        <v>1148</v>
      </c>
      <c r="B120" s="121" t="s">
        <v>1149</v>
      </c>
      <c r="C120" s="121" t="s">
        <v>1150</v>
      </c>
      <c r="D120" s="154">
        <v>6.0000000000000001E-3</v>
      </c>
      <c r="E120" s="154">
        <f t="shared" si="4"/>
        <v>6.0098623381960132E-3</v>
      </c>
      <c r="F120" s="155">
        <f t="shared" si="5"/>
        <v>1112.4334045675807</v>
      </c>
      <c r="G120" s="156">
        <f t="shared" si="6"/>
        <v>370.81113485586025</v>
      </c>
      <c r="H120" s="122">
        <v>329</v>
      </c>
      <c r="I120" s="124">
        <f t="shared" si="7"/>
        <v>41.811134855860246</v>
      </c>
    </row>
    <row r="121" spans="1:9" ht="12" customHeight="1" x14ac:dyDescent="0.2">
      <c r="A121" s="120" t="s">
        <v>1151</v>
      </c>
      <c r="B121" s="121" t="s">
        <v>1152</v>
      </c>
      <c r="C121" s="121" t="s">
        <v>1153</v>
      </c>
      <c r="D121" s="154">
        <v>1.6539999999999999</v>
      </c>
      <c r="E121" s="154">
        <f t="shared" si="4"/>
        <v>1.6567187178960343</v>
      </c>
      <c r="F121" s="155">
        <f t="shared" si="5"/>
        <v>306660.8085257964</v>
      </c>
      <c r="G121" s="156">
        <f t="shared" si="6"/>
        <v>102220.26950859879</v>
      </c>
      <c r="H121" s="122">
        <v>101751</v>
      </c>
      <c r="I121" s="124">
        <f t="shared" si="7"/>
        <v>469.26950859879435</v>
      </c>
    </row>
    <row r="122" spans="1:9" ht="12" customHeight="1" x14ac:dyDescent="0.2">
      <c r="A122" s="120" t="s">
        <v>1154</v>
      </c>
      <c r="B122" s="121" t="s">
        <v>1155</v>
      </c>
      <c r="C122" s="121" t="s">
        <v>1156</v>
      </c>
      <c r="D122" s="154">
        <v>0.253</v>
      </c>
      <c r="E122" s="154">
        <f t="shared" si="4"/>
        <v>0.25341586192726523</v>
      </c>
      <c r="F122" s="155">
        <f t="shared" si="5"/>
        <v>46907.608559266322</v>
      </c>
      <c r="G122" s="156">
        <f t="shared" si="6"/>
        <v>15635.869519755441</v>
      </c>
      <c r="H122" s="122">
        <v>14975</v>
      </c>
      <c r="I122" s="124">
        <f t="shared" si="7"/>
        <v>660.86951975544071</v>
      </c>
    </row>
    <row r="123" spans="1:9" ht="12" customHeight="1" x14ac:dyDescent="0.2">
      <c r="A123" s="120" t="s">
        <v>1157</v>
      </c>
      <c r="B123" s="121" t="s">
        <v>1158</v>
      </c>
      <c r="C123" s="121" t="s">
        <v>1159</v>
      </c>
      <c r="D123" s="154">
        <v>3.0000000000000001E-3</v>
      </c>
      <c r="E123" s="154">
        <f t="shared" si="4"/>
        <v>3.0049311690980066E-3</v>
      </c>
      <c r="F123" s="155">
        <f t="shared" si="5"/>
        <v>556.21670228379037</v>
      </c>
      <c r="G123" s="156">
        <f t="shared" si="6"/>
        <v>185.40556742793012</v>
      </c>
      <c r="H123" s="122">
        <v>165</v>
      </c>
      <c r="I123" s="124">
        <f t="shared" si="7"/>
        <v>20.405567427930123</v>
      </c>
    </row>
    <row r="124" spans="1:9" ht="12" customHeight="1" x14ac:dyDescent="0.2">
      <c r="A124" s="120" t="s">
        <v>1160</v>
      </c>
      <c r="B124" s="121" t="s">
        <v>1161</v>
      </c>
      <c r="C124" s="121" t="s">
        <v>1162</v>
      </c>
      <c r="D124" s="154">
        <v>2E-3</v>
      </c>
      <c r="E124" s="154">
        <f t="shared" si="4"/>
        <v>2.0032874460653377E-3</v>
      </c>
      <c r="F124" s="155">
        <f t="shared" si="5"/>
        <v>370.81113485586025</v>
      </c>
      <c r="G124" s="156">
        <f t="shared" si="6"/>
        <v>123.60371161862008</v>
      </c>
      <c r="H124" s="122">
        <v>110</v>
      </c>
      <c r="I124" s="124">
        <f t="shared" si="7"/>
        <v>13.603711618620082</v>
      </c>
    </row>
    <row r="125" spans="1:9" ht="12" customHeight="1" x14ac:dyDescent="0.2">
      <c r="A125" s="120" t="s">
        <v>1163</v>
      </c>
      <c r="B125" s="121" t="s">
        <v>1164</v>
      </c>
      <c r="C125" s="121" t="s">
        <v>1165</v>
      </c>
      <c r="D125" s="154">
        <v>0.09</v>
      </c>
      <c r="E125" s="154">
        <f t="shared" si="4"/>
        <v>9.0147935072940194E-2</v>
      </c>
      <c r="F125" s="155">
        <f t="shared" si="5"/>
        <v>16686.501068513709</v>
      </c>
      <c r="G125" s="156">
        <f t="shared" si="6"/>
        <v>5562.1670228379035</v>
      </c>
      <c r="H125" s="122">
        <v>4279</v>
      </c>
      <c r="I125" s="124">
        <f t="shared" si="7"/>
        <v>1283.1670228379035</v>
      </c>
    </row>
    <row r="126" spans="1:9" ht="12" customHeight="1" x14ac:dyDescent="0.2">
      <c r="A126" s="120" t="s">
        <v>1166</v>
      </c>
      <c r="B126" s="121" t="s">
        <v>1167</v>
      </c>
      <c r="C126" s="121" t="s">
        <v>1168</v>
      </c>
      <c r="D126" s="154">
        <v>0.85099999999999998</v>
      </c>
      <c r="E126" s="154">
        <f t="shared" si="4"/>
        <v>0.85239880830080117</v>
      </c>
      <c r="F126" s="155">
        <f t="shared" si="5"/>
        <v>157780.13788116851</v>
      </c>
      <c r="G126" s="156">
        <f t="shared" si="6"/>
        <v>52593.379293722835</v>
      </c>
      <c r="H126" s="122">
        <v>47776</v>
      </c>
      <c r="I126" s="124">
        <f t="shared" si="7"/>
        <v>4817.3792937228354</v>
      </c>
    </row>
    <row r="127" spans="1:9" ht="12" customHeight="1" x14ac:dyDescent="0.2">
      <c r="A127" s="120" t="s">
        <v>1169</v>
      </c>
      <c r="B127" s="120" t="s">
        <v>1170</v>
      </c>
      <c r="C127" s="120" t="s">
        <v>1171</v>
      </c>
      <c r="D127" s="154">
        <v>0.10199999999999999</v>
      </c>
      <c r="E127" s="154">
        <f t="shared" si="4"/>
        <v>0.10216765974933222</v>
      </c>
      <c r="F127" s="155">
        <f t="shared" si="5"/>
        <v>18911.36787764887</v>
      </c>
      <c r="G127" s="156">
        <f t="shared" si="6"/>
        <v>6303.7892925496235</v>
      </c>
      <c r="H127" s="122">
        <v>4718</v>
      </c>
      <c r="I127" s="124">
        <f t="shared" si="7"/>
        <v>1585.7892925496235</v>
      </c>
    </row>
    <row r="128" spans="1:9" ht="12" customHeight="1" x14ac:dyDescent="0.2">
      <c r="A128" s="120" t="s">
        <v>1172</v>
      </c>
      <c r="B128" s="121" t="s">
        <v>1173</v>
      </c>
      <c r="C128" s="121" t="s">
        <v>1174</v>
      </c>
      <c r="D128" s="154">
        <v>8.5000000000000006E-2</v>
      </c>
      <c r="E128" s="154">
        <f t="shared" si="4"/>
        <v>8.5139716457776862E-2</v>
      </c>
      <c r="F128" s="155">
        <f t="shared" si="5"/>
        <v>15759.473231374062</v>
      </c>
      <c r="G128" s="156">
        <f t="shared" si="6"/>
        <v>5253.1577437913538</v>
      </c>
      <c r="H128" s="122">
        <v>4498</v>
      </c>
      <c r="I128" s="124">
        <f t="shared" si="7"/>
        <v>755.15774379135382</v>
      </c>
    </row>
    <row r="129" spans="1:9" ht="12" customHeight="1" x14ac:dyDescent="0.2">
      <c r="A129" s="120" t="s">
        <v>1175</v>
      </c>
      <c r="B129" s="121" t="s">
        <v>1176</v>
      </c>
      <c r="C129" s="121" t="s">
        <v>1177</v>
      </c>
      <c r="D129" s="154">
        <v>1E-3</v>
      </c>
      <c r="E129" s="154">
        <f t="shared" si="4"/>
        <v>1.0016437230326689E-3</v>
      </c>
      <c r="F129" s="155">
        <f t="shared" si="5"/>
        <v>185.40556742793012</v>
      </c>
      <c r="G129" s="156">
        <f t="shared" si="6"/>
        <v>61.801855809310041</v>
      </c>
      <c r="H129" s="122">
        <v>55</v>
      </c>
      <c r="I129" s="124">
        <f t="shared" si="7"/>
        <v>6.801855809310041</v>
      </c>
    </row>
    <row r="130" spans="1:9" ht="12" customHeight="1" x14ac:dyDescent="0.2">
      <c r="A130" s="120" t="s">
        <v>1178</v>
      </c>
      <c r="B130" s="121" t="s">
        <v>1179</v>
      </c>
      <c r="C130" s="121" t="s">
        <v>1180</v>
      </c>
      <c r="D130" s="154">
        <v>2.5999999999999999E-2</v>
      </c>
      <c r="E130" s="154">
        <f t="shared" si="4"/>
        <v>2.604273679884939E-2</v>
      </c>
      <c r="F130" s="155">
        <f t="shared" si="5"/>
        <v>4820.5447531261834</v>
      </c>
      <c r="G130" s="156">
        <f t="shared" si="6"/>
        <v>1606.8482510420611</v>
      </c>
      <c r="H130" s="122">
        <v>1207</v>
      </c>
      <c r="I130" s="124">
        <f t="shared" si="7"/>
        <v>399.84825104206107</v>
      </c>
    </row>
    <row r="131" spans="1:9" ht="12" customHeight="1" x14ac:dyDescent="0.2">
      <c r="A131" s="120" t="s">
        <v>1181</v>
      </c>
      <c r="B131" s="121" t="s">
        <v>1182</v>
      </c>
      <c r="C131" s="121" t="s">
        <v>1183</v>
      </c>
      <c r="D131" s="154">
        <v>4.0000000000000001E-3</v>
      </c>
      <c r="E131" s="154">
        <f t="shared" si="4"/>
        <v>4.0065748921306755E-3</v>
      </c>
      <c r="F131" s="155">
        <f t="shared" si="5"/>
        <v>741.62226971172049</v>
      </c>
      <c r="G131" s="156">
        <f t="shared" si="6"/>
        <v>247.20742323724016</v>
      </c>
      <c r="H131" s="122">
        <v>110</v>
      </c>
      <c r="I131" s="124">
        <f t="shared" si="7"/>
        <v>137.20742323724016</v>
      </c>
    </row>
    <row r="132" spans="1:9" ht="12" customHeight="1" x14ac:dyDescent="0.2">
      <c r="A132" s="120" t="s">
        <v>1184</v>
      </c>
      <c r="B132" s="121" t="s">
        <v>1185</v>
      </c>
      <c r="C132" s="121" t="s">
        <v>1186</v>
      </c>
      <c r="D132" s="154">
        <v>0.01</v>
      </c>
      <c r="E132" s="154">
        <f t="shared" si="4"/>
        <v>1.0016437230326688E-2</v>
      </c>
      <c r="F132" s="155">
        <f t="shared" si="5"/>
        <v>1854.055674279301</v>
      </c>
      <c r="G132" s="156">
        <f t="shared" si="6"/>
        <v>618.0185580931003</v>
      </c>
      <c r="H132" s="122">
        <v>384</v>
      </c>
      <c r="I132" s="124">
        <f t="shared" si="7"/>
        <v>234.0185580931003</v>
      </c>
    </row>
    <row r="133" spans="1:9" ht="12" customHeight="1" x14ac:dyDescent="0.2">
      <c r="A133" s="120" t="s">
        <v>1187</v>
      </c>
      <c r="B133" s="121" t="s">
        <v>1188</v>
      </c>
      <c r="C133" s="121" t="s">
        <v>1189</v>
      </c>
      <c r="D133" s="154">
        <v>0.11700000000000001</v>
      </c>
      <c r="E133" s="154">
        <f t="shared" si="4"/>
        <v>0.11719231559482227</v>
      </c>
      <c r="F133" s="155">
        <f t="shared" si="5"/>
        <v>21692.451389067824</v>
      </c>
      <c r="G133" s="156">
        <f t="shared" si="6"/>
        <v>7230.8171296892751</v>
      </c>
      <c r="H133" s="122">
        <v>4937</v>
      </c>
      <c r="I133" s="124">
        <f t="shared" si="7"/>
        <v>2293.8171296892751</v>
      </c>
    </row>
    <row r="134" spans="1:9" ht="12" customHeight="1" x14ac:dyDescent="0.2">
      <c r="A134" s="120" t="s">
        <v>1190</v>
      </c>
      <c r="B134" s="121" t="s">
        <v>1191</v>
      </c>
      <c r="C134" s="121" t="s">
        <v>1192</v>
      </c>
      <c r="D134" s="154">
        <v>0.154</v>
      </c>
      <c r="E134" s="154">
        <f t="shared" si="4"/>
        <v>0.154253133347031</v>
      </c>
      <c r="F134" s="155">
        <f t="shared" si="5"/>
        <v>28552.457383901241</v>
      </c>
      <c r="G134" s="156">
        <f t="shared" si="6"/>
        <v>9517.485794633747</v>
      </c>
      <c r="H134" s="122">
        <v>4937</v>
      </c>
      <c r="I134" s="124">
        <f t="shared" si="7"/>
        <v>4580.485794633747</v>
      </c>
    </row>
    <row r="135" spans="1:9" ht="12" customHeight="1" x14ac:dyDescent="0.2">
      <c r="A135" s="120" t="s">
        <v>1193</v>
      </c>
      <c r="B135" s="121" t="s">
        <v>1194</v>
      </c>
      <c r="C135" s="121" t="s">
        <v>1195</v>
      </c>
      <c r="D135" s="154">
        <v>0.92100000000000004</v>
      </c>
      <c r="E135" s="154">
        <f t="shared" si="4"/>
        <v>0.92251386891308806</v>
      </c>
      <c r="F135" s="155">
        <f t="shared" si="5"/>
        <v>170758.52760112364</v>
      </c>
      <c r="G135" s="156">
        <f t="shared" si="6"/>
        <v>56919.509200374545</v>
      </c>
      <c r="H135" s="122">
        <v>45418</v>
      </c>
      <c r="I135" s="124">
        <f t="shared" si="7"/>
        <v>11501.509200374545</v>
      </c>
    </row>
    <row r="136" spans="1:9" ht="12" customHeight="1" x14ac:dyDescent="0.2">
      <c r="A136" s="120" t="s">
        <v>1196</v>
      </c>
      <c r="B136" s="121" t="s">
        <v>1197</v>
      </c>
      <c r="C136" s="121" t="s">
        <v>1198</v>
      </c>
      <c r="D136" s="154">
        <v>0.47399999999999998</v>
      </c>
      <c r="E136" s="154">
        <f t="shared" si="4"/>
        <v>0.47477912471748501</v>
      </c>
      <c r="F136" s="155">
        <f t="shared" si="5"/>
        <v>87882.238960838877</v>
      </c>
      <c r="G136" s="156">
        <f t="shared" si="6"/>
        <v>29294.07965361296</v>
      </c>
      <c r="H136" s="122">
        <v>28030</v>
      </c>
      <c r="I136" s="124">
        <f t="shared" si="7"/>
        <v>1264.0796536129601</v>
      </c>
    </row>
    <row r="137" spans="1:9" ht="12" customHeight="1" x14ac:dyDescent="0.2">
      <c r="A137" s="120" t="s">
        <v>1199</v>
      </c>
      <c r="B137" s="121" t="s">
        <v>1200</v>
      </c>
      <c r="C137" s="121" t="s">
        <v>1201</v>
      </c>
      <c r="D137" s="154">
        <v>0.20899999999999999</v>
      </c>
      <c r="E137" s="154">
        <f t="shared" si="4"/>
        <v>0.20934353811382778</v>
      </c>
      <c r="F137" s="155">
        <f t="shared" si="5"/>
        <v>38749.76359243739</v>
      </c>
      <c r="G137" s="156">
        <f t="shared" si="6"/>
        <v>12916.587864145797</v>
      </c>
      <c r="H137" s="122">
        <v>7405</v>
      </c>
      <c r="I137" s="124">
        <f t="shared" si="7"/>
        <v>5511.5878641457966</v>
      </c>
    </row>
    <row r="138" spans="1:9" ht="12" customHeight="1" x14ac:dyDescent="0.2">
      <c r="A138" s="120" t="s">
        <v>1202</v>
      </c>
      <c r="B138" s="121" t="s">
        <v>1203</v>
      </c>
      <c r="C138" s="121" t="s">
        <v>1204</v>
      </c>
      <c r="D138" s="154">
        <v>1.994</v>
      </c>
      <c r="E138" s="154">
        <f t="shared" si="4"/>
        <v>1.9972775837271417</v>
      </c>
      <c r="F138" s="155">
        <f t="shared" si="5"/>
        <v>369698.70145129261</v>
      </c>
      <c r="G138" s="156">
        <f t="shared" si="6"/>
        <v>123232.9004837642</v>
      </c>
      <c r="H138" s="122">
        <v>123966</v>
      </c>
      <c r="I138" s="124">
        <f t="shared" si="7"/>
        <v>-733.09951623580127</v>
      </c>
    </row>
    <row r="139" spans="1:9" ht="12" customHeight="1" x14ac:dyDescent="0.2">
      <c r="A139" s="120" t="s">
        <v>1205</v>
      </c>
      <c r="B139" s="121" t="s">
        <v>1206</v>
      </c>
      <c r="C139" s="121" t="s">
        <v>1207</v>
      </c>
      <c r="D139" s="154">
        <v>3.0000000000000001E-3</v>
      </c>
      <c r="E139" s="154">
        <f t="shared" si="4"/>
        <v>3.0049311690980066E-3</v>
      </c>
      <c r="F139" s="155">
        <f t="shared" si="5"/>
        <v>556.21670228379037</v>
      </c>
      <c r="G139" s="156">
        <f t="shared" si="6"/>
        <v>185.40556742793012</v>
      </c>
      <c r="H139" s="122">
        <v>110</v>
      </c>
      <c r="I139" s="124">
        <f t="shared" si="7"/>
        <v>75.405567427930123</v>
      </c>
    </row>
    <row r="140" spans="1:9" ht="12" customHeight="1" x14ac:dyDescent="0.2">
      <c r="A140" s="120" t="s">
        <v>1208</v>
      </c>
      <c r="B140" s="121" t="s">
        <v>1209</v>
      </c>
      <c r="C140" s="121" t="s">
        <v>1210</v>
      </c>
      <c r="D140" s="154">
        <v>0.22600000000000001</v>
      </c>
      <c r="E140" s="154">
        <f t="shared" si="4"/>
        <v>0.22637148140538316</v>
      </c>
      <c r="F140" s="155">
        <f t="shared" ref="F140:F187" si="8">(E140*$D$195/100)</f>
        <v>41901.658238712203</v>
      </c>
      <c r="G140" s="156">
        <f t="shared" ref="G140:G187" si="9">(F140/3)</f>
        <v>13967.219412904067</v>
      </c>
      <c r="H140" s="122">
        <v>9709</v>
      </c>
      <c r="I140" s="124">
        <f t="shared" si="7"/>
        <v>4258.2194129040672</v>
      </c>
    </row>
    <row r="141" spans="1:9" ht="12" customHeight="1" x14ac:dyDescent="0.2">
      <c r="A141" s="120" t="s">
        <v>1211</v>
      </c>
      <c r="B141" s="121" t="s">
        <v>1212</v>
      </c>
      <c r="C141" s="121" t="s">
        <v>1213</v>
      </c>
      <c r="D141" s="154">
        <v>2.4380000000000002</v>
      </c>
      <c r="E141" s="154">
        <f t="shared" ref="E141:E187" si="10">D141*(100-22)/($D$188-22)</f>
        <v>2.4420073967536466</v>
      </c>
      <c r="F141" s="155">
        <f t="shared" si="8"/>
        <v>452018.77338929364</v>
      </c>
      <c r="G141" s="156">
        <f t="shared" si="9"/>
        <v>150672.92446309788</v>
      </c>
      <c r="H141" s="122">
        <v>87873</v>
      </c>
      <c r="I141" s="124">
        <f t="shared" ref="I141:I188" si="11">G141-H141</f>
        <v>62799.924463097879</v>
      </c>
    </row>
    <row r="142" spans="1:9" ht="12" customHeight="1" x14ac:dyDescent="0.2">
      <c r="A142" s="120" t="s">
        <v>1214</v>
      </c>
      <c r="B142" s="121" t="s">
        <v>1215</v>
      </c>
      <c r="C142" s="121" t="s">
        <v>1216</v>
      </c>
      <c r="D142" s="154">
        <v>2E-3</v>
      </c>
      <c r="E142" s="154">
        <f t="shared" si="10"/>
        <v>2.0032874460653377E-3</v>
      </c>
      <c r="F142" s="155">
        <f t="shared" si="8"/>
        <v>370.81113485586025</v>
      </c>
      <c r="G142" s="156">
        <f t="shared" si="9"/>
        <v>123.60371161862008</v>
      </c>
      <c r="H142" s="122">
        <v>55</v>
      </c>
      <c r="I142" s="124">
        <f t="shared" si="11"/>
        <v>68.603711618620082</v>
      </c>
    </row>
    <row r="143" spans="1:9" ht="12" customHeight="1" x14ac:dyDescent="0.2">
      <c r="A143" s="120" t="s">
        <v>1217</v>
      </c>
      <c r="B143" s="121" t="s">
        <v>1218</v>
      </c>
      <c r="C143" s="121" t="s">
        <v>1219</v>
      </c>
      <c r="D143" s="154">
        <v>1E-3</v>
      </c>
      <c r="E143" s="154">
        <f t="shared" si="10"/>
        <v>1.0016437230326689E-3</v>
      </c>
      <c r="F143" s="155">
        <f t="shared" si="8"/>
        <v>185.40556742793012</v>
      </c>
      <c r="G143" s="156">
        <f t="shared" si="9"/>
        <v>61.801855809310041</v>
      </c>
      <c r="H143" s="122">
        <v>55</v>
      </c>
      <c r="I143" s="124">
        <f t="shared" si="11"/>
        <v>6.801855809310041</v>
      </c>
    </row>
    <row r="144" spans="1:9" ht="12" customHeight="1" x14ac:dyDescent="0.2">
      <c r="A144" s="120" t="s">
        <v>1220</v>
      </c>
      <c r="B144" s="121" t="s">
        <v>1221</v>
      </c>
      <c r="C144" s="121" t="s">
        <v>1222</v>
      </c>
      <c r="D144" s="154">
        <v>1E-3</v>
      </c>
      <c r="E144" s="154">
        <f t="shared" si="10"/>
        <v>1.0016437230326689E-3</v>
      </c>
      <c r="F144" s="155">
        <f t="shared" si="8"/>
        <v>185.40556742793012</v>
      </c>
      <c r="G144" s="156">
        <f t="shared" si="9"/>
        <v>61.801855809310041</v>
      </c>
      <c r="H144" s="122">
        <v>55</v>
      </c>
      <c r="I144" s="124">
        <f t="shared" si="11"/>
        <v>6.801855809310041</v>
      </c>
    </row>
    <row r="145" spans="1:9" ht="12" customHeight="1" x14ac:dyDescent="0.2">
      <c r="A145" s="120" t="s">
        <v>1223</v>
      </c>
      <c r="B145" s="121" t="s">
        <v>1224</v>
      </c>
      <c r="C145" s="121" t="s">
        <v>1225</v>
      </c>
      <c r="D145" s="154">
        <v>1E-3</v>
      </c>
      <c r="E145" s="154">
        <f t="shared" si="10"/>
        <v>1.0016437230326689E-3</v>
      </c>
      <c r="F145" s="155">
        <f t="shared" si="8"/>
        <v>185.40556742793012</v>
      </c>
      <c r="G145" s="156">
        <f t="shared" si="9"/>
        <v>61.801855809310041</v>
      </c>
      <c r="H145" s="122">
        <v>55</v>
      </c>
      <c r="I145" s="124">
        <f t="shared" si="11"/>
        <v>6.801855809310041</v>
      </c>
    </row>
    <row r="146" spans="1:9" ht="12" customHeight="1" x14ac:dyDescent="0.2">
      <c r="A146" s="120" t="s">
        <v>1226</v>
      </c>
      <c r="B146" s="121" t="s">
        <v>1227</v>
      </c>
      <c r="C146" s="121" t="s">
        <v>1228</v>
      </c>
      <c r="D146" s="154">
        <v>1E-3</v>
      </c>
      <c r="E146" s="154">
        <f t="shared" si="10"/>
        <v>1.0016437230326689E-3</v>
      </c>
      <c r="F146" s="155">
        <f t="shared" si="8"/>
        <v>185.40556742793012</v>
      </c>
      <c r="G146" s="156">
        <f t="shared" si="9"/>
        <v>61.801855809310041</v>
      </c>
      <c r="H146" s="122">
        <v>55</v>
      </c>
      <c r="I146" s="124">
        <f t="shared" si="11"/>
        <v>6.801855809310041</v>
      </c>
    </row>
    <row r="147" spans="1:9" ht="12" customHeight="1" x14ac:dyDescent="0.2">
      <c r="A147" s="120" t="s">
        <v>1229</v>
      </c>
      <c r="B147" s="120" t="s">
        <v>1230</v>
      </c>
      <c r="C147" s="120" t="s">
        <v>1231</v>
      </c>
      <c r="D147" s="154">
        <v>3.0000000000000001E-3</v>
      </c>
      <c r="E147" s="154">
        <f t="shared" si="10"/>
        <v>3.0049311690980066E-3</v>
      </c>
      <c r="F147" s="155">
        <f t="shared" si="8"/>
        <v>556.21670228379037</v>
      </c>
      <c r="G147" s="156">
        <f t="shared" si="9"/>
        <v>185.40556742793012</v>
      </c>
      <c r="H147" s="122">
        <v>165</v>
      </c>
      <c r="I147" s="124">
        <f t="shared" si="11"/>
        <v>20.405567427930123</v>
      </c>
    </row>
    <row r="148" spans="1:9" ht="12" customHeight="1" x14ac:dyDescent="0.2">
      <c r="A148" s="120" t="s">
        <v>1232</v>
      </c>
      <c r="B148" s="121" t="s">
        <v>1233</v>
      </c>
      <c r="C148" s="121" t="s">
        <v>1234</v>
      </c>
      <c r="D148" s="154">
        <v>1E-3</v>
      </c>
      <c r="E148" s="154">
        <f t="shared" si="10"/>
        <v>1.0016437230326689E-3</v>
      </c>
      <c r="F148" s="155">
        <f t="shared" si="8"/>
        <v>185.40556742793012</v>
      </c>
      <c r="G148" s="156">
        <f t="shared" si="9"/>
        <v>61.801855809310041</v>
      </c>
      <c r="H148" s="122">
        <v>55</v>
      </c>
      <c r="I148" s="124">
        <f t="shared" si="11"/>
        <v>6.801855809310041</v>
      </c>
    </row>
    <row r="149" spans="1:9" ht="12" customHeight="1" x14ac:dyDescent="0.2">
      <c r="A149" s="120" t="s">
        <v>1235</v>
      </c>
      <c r="B149" s="121" t="s">
        <v>1236</v>
      </c>
      <c r="C149" s="121" t="s">
        <v>1237</v>
      </c>
      <c r="D149" s="154">
        <v>0.86399999999999999</v>
      </c>
      <c r="E149" s="154">
        <f t="shared" si="10"/>
        <v>0.86542017670022575</v>
      </c>
      <c r="F149" s="155">
        <f t="shared" si="8"/>
        <v>160190.41025773159</v>
      </c>
      <c r="G149" s="156">
        <f t="shared" si="9"/>
        <v>53396.803419243864</v>
      </c>
      <c r="H149" s="122">
        <v>45527</v>
      </c>
      <c r="I149" s="124">
        <f t="shared" si="11"/>
        <v>7869.8034192438645</v>
      </c>
    </row>
    <row r="150" spans="1:9" ht="12" customHeight="1" x14ac:dyDescent="0.2">
      <c r="A150" s="120" t="s">
        <v>1238</v>
      </c>
      <c r="B150" s="121" t="s">
        <v>1239</v>
      </c>
      <c r="C150" s="121" t="s">
        <v>1240</v>
      </c>
      <c r="D150" s="154">
        <v>6.0000000000000001E-3</v>
      </c>
      <c r="E150" s="154">
        <f t="shared" si="10"/>
        <v>6.0098623381960132E-3</v>
      </c>
      <c r="F150" s="155">
        <f t="shared" si="8"/>
        <v>1112.4334045675807</v>
      </c>
      <c r="G150" s="156">
        <f t="shared" si="9"/>
        <v>370.81113485586025</v>
      </c>
      <c r="H150" s="122">
        <v>329</v>
      </c>
      <c r="I150" s="124">
        <f t="shared" si="11"/>
        <v>41.811134855860246</v>
      </c>
    </row>
    <row r="151" spans="1:9" ht="12" customHeight="1" x14ac:dyDescent="0.2">
      <c r="A151" s="120" t="s">
        <v>1241</v>
      </c>
      <c r="B151" s="121" t="s">
        <v>1242</v>
      </c>
      <c r="C151" s="121" t="s">
        <v>1243</v>
      </c>
      <c r="D151" s="154">
        <v>0.04</v>
      </c>
      <c r="E151" s="154">
        <f t="shared" si="10"/>
        <v>4.0065748921306751E-2</v>
      </c>
      <c r="F151" s="155">
        <f t="shared" si="8"/>
        <v>7416.222697117204</v>
      </c>
      <c r="G151" s="156">
        <f t="shared" si="9"/>
        <v>2472.0742323724012</v>
      </c>
      <c r="H151" s="122">
        <v>2030</v>
      </c>
      <c r="I151" s="124">
        <f t="shared" si="11"/>
        <v>442.07423237240118</v>
      </c>
    </row>
    <row r="152" spans="1:9" ht="12" customHeight="1" x14ac:dyDescent="0.2">
      <c r="A152" s="120" t="s">
        <v>1244</v>
      </c>
      <c r="B152" s="121" t="s">
        <v>1245</v>
      </c>
      <c r="C152" s="121" t="s">
        <v>1246</v>
      </c>
      <c r="D152" s="154">
        <v>1E-3</v>
      </c>
      <c r="E152" s="154">
        <f t="shared" si="10"/>
        <v>1.0016437230326689E-3</v>
      </c>
      <c r="F152" s="155">
        <f t="shared" si="8"/>
        <v>185.40556742793012</v>
      </c>
      <c r="G152" s="156">
        <f t="shared" si="9"/>
        <v>61.801855809310041</v>
      </c>
      <c r="H152" s="122">
        <v>110</v>
      </c>
      <c r="I152" s="124">
        <f t="shared" si="11"/>
        <v>-48.198144190689959</v>
      </c>
    </row>
    <row r="153" spans="1:9" ht="12" customHeight="1" x14ac:dyDescent="0.2">
      <c r="A153" s="120" t="s">
        <v>1247</v>
      </c>
      <c r="B153" s="121" t="s">
        <v>1248</v>
      </c>
      <c r="C153" s="121" t="s">
        <v>1249</v>
      </c>
      <c r="D153" s="154">
        <v>1E-3</v>
      </c>
      <c r="E153" s="154">
        <f t="shared" si="10"/>
        <v>1.0016437230326689E-3</v>
      </c>
      <c r="F153" s="155">
        <f t="shared" si="8"/>
        <v>185.40556742793012</v>
      </c>
      <c r="G153" s="156">
        <f t="shared" si="9"/>
        <v>61.801855809310041</v>
      </c>
      <c r="H153" s="122">
        <v>55</v>
      </c>
      <c r="I153" s="124">
        <f t="shared" si="11"/>
        <v>6.801855809310041</v>
      </c>
    </row>
    <row r="154" spans="1:9" ht="12" customHeight="1" x14ac:dyDescent="0.2">
      <c r="A154" s="120" t="s">
        <v>1250</v>
      </c>
      <c r="B154" s="121" t="s">
        <v>1251</v>
      </c>
      <c r="C154" s="121" t="s">
        <v>1252</v>
      </c>
      <c r="D154" s="154">
        <v>0.38400000000000001</v>
      </c>
      <c r="E154" s="154">
        <f t="shared" si="10"/>
        <v>0.38463118964454485</v>
      </c>
      <c r="F154" s="155">
        <f t="shared" si="8"/>
        <v>71195.737892325167</v>
      </c>
      <c r="G154" s="156">
        <f t="shared" si="9"/>
        <v>23731.912630775056</v>
      </c>
      <c r="H154" s="122">
        <v>18376</v>
      </c>
      <c r="I154" s="124">
        <f t="shared" si="11"/>
        <v>5355.9126307750557</v>
      </c>
    </row>
    <row r="155" spans="1:9" ht="12" customHeight="1" x14ac:dyDescent="0.2">
      <c r="A155" s="120" t="s">
        <v>1253</v>
      </c>
      <c r="B155" s="121" t="s">
        <v>1254</v>
      </c>
      <c r="C155" s="121" t="s">
        <v>1255</v>
      </c>
      <c r="D155" s="154">
        <v>0.17100000000000001</v>
      </c>
      <c r="E155" s="154">
        <f t="shared" si="10"/>
        <v>0.17128107663858638</v>
      </c>
      <c r="F155" s="155">
        <f t="shared" si="8"/>
        <v>31704.352030176051</v>
      </c>
      <c r="G155" s="156">
        <f t="shared" si="9"/>
        <v>10568.117343392018</v>
      </c>
      <c r="H155" s="122">
        <v>7789</v>
      </c>
      <c r="I155" s="124">
        <f t="shared" si="11"/>
        <v>2779.1173433920176</v>
      </c>
    </row>
    <row r="156" spans="1:9" ht="12" customHeight="1" x14ac:dyDescent="0.2">
      <c r="A156" s="120" t="s">
        <v>1256</v>
      </c>
      <c r="B156" s="121" t="s">
        <v>1257</v>
      </c>
      <c r="C156" s="121" t="s">
        <v>1258</v>
      </c>
      <c r="D156" s="154">
        <v>0.1</v>
      </c>
      <c r="E156" s="154">
        <f t="shared" si="10"/>
        <v>0.10016437230326689</v>
      </c>
      <c r="F156" s="155">
        <f t="shared" si="8"/>
        <v>18540.556742793011</v>
      </c>
      <c r="G156" s="156">
        <f t="shared" si="9"/>
        <v>6180.1855809310036</v>
      </c>
      <c r="H156" s="122">
        <v>5650</v>
      </c>
      <c r="I156" s="124">
        <f t="shared" si="11"/>
        <v>530.18558093100364</v>
      </c>
    </row>
    <row r="157" spans="1:9" ht="12" customHeight="1" x14ac:dyDescent="0.2">
      <c r="A157" s="120" t="s">
        <v>1259</v>
      </c>
      <c r="B157" s="126" t="s">
        <v>1260</v>
      </c>
      <c r="C157" s="126" t="s">
        <v>1261</v>
      </c>
      <c r="D157" s="154">
        <v>1E-3</v>
      </c>
      <c r="E157" s="154">
        <f t="shared" si="10"/>
        <v>1.0016437230326689E-3</v>
      </c>
      <c r="F157" s="155">
        <f t="shared" si="8"/>
        <v>185.40556742793012</v>
      </c>
      <c r="G157" s="156">
        <f t="shared" si="9"/>
        <v>61.801855809310041</v>
      </c>
      <c r="H157" s="122">
        <v>55</v>
      </c>
      <c r="I157" s="124">
        <f t="shared" si="11"/>
        <v>6.801855809310041</v>
      </c>
    </row>
    <row r="158" spans="1:9" ht="12" customHeight="1" x14ac:dyDescent="0.2">
      <c r="A158" s="120" t="s">
        <v>1262</v>
      </c>
      <c r="B158" s="121" t="s">
        <v>1263</v>
      </c>
      <c r="C158" s="121" t="s">
        <v>1264</v>
      </c>
      <c r="D158" s="154">
        <v>1E-3</v>
      </c>
      <c r="E158" s="154">
        <f t="shared" si="10"/>
        <v>1.0016437230326689E-3</v>
      </c>
      <c r="F158" s="155">
        <f t="shared" si="8"/>
        <v>185.40556742793012</v>
      </c>
      <c r="G158" s="156">
        <f t="shared" si="9"/>
        <v>61.801855809310041</v>
      </c>
      <c r="H158" s="122">
        <v>55</v>
      </c>
      <c r="I158" s="124">
        <f t="shared" si="11"/>
        <v>6.801855809310041</v>
      </c>
    </row>
    <row r="159" spans="1:9" ht="12" customHeight="1" x14ac:dyDescent="0.2">
      <c r="A159" s="120" t="s">
        <v>1265</v>
      </c>
      <c r="B159" s="121" t="s">
        <v>1266</v>
      </c>
      <c r="C159" s="121" t="s">
        <v>1267</v>
      </c>
      <c r="D159" s="154">
        <v>0.372</v>
      </c>
      <c r="E159" s="154">
        <f t="shared" si="10"/>
        <v>0.37261146496815278</v>
      </c>
      <c r="F159" s="155">
        <f t="shared" si="8"/>
        <v>68970.871083189995</v>
      </c>
      <c r="G159" s="156">
        <f t="shared" si="9"/>
        <v>22990.290361063333</v>
      </c>
      <c r="H159" s="122">
        <v>21118</v>
      </c>
      <c r="I159" s="124">
        <f t="shared" si="11"/>
        <v>1872.290361063333</v>
      </c>
    </row>
    <row r="160" spans="1:9" ht="12" customHeight="1" x14ac:dyDescent="0.2">
      <c r="A160" s="120" t="s">
        <v>1268</v>
      </c>
      <c r="B160" s="121" t="s">
        <v>1269</v>
      </c>
      <c r="C160" s="121" t="s">
        <v>1270</v>
      </c>
      <c r="D160" s="154">
        <v>2.9729999999999999</v>
      </c>
      <c r="E160" s="154">
        <f t="shared" si="10"/>
        <v>2.9778867885761242</v>
      </c>
      <c r="F160" s="155">
        <f t="shared" si="8"/>
        <v>551210.75196323614</v>
      </c>
      <c r="G160" s="156">
        <f t="shared" si="9"/>
        <v>183736.91732107871</v>
      </c>
      <c r="H160" s="122">
        <v>174265</v>
      </c>
      <c r="I160" s="124">
        <f t="shared" si="11"/>
        <v>9471.9173210787121</v>
      </c>
    </row>
    <row r="161" spans="1:9" ht="12" customHeight="1" x14ac:dyDescent="0.2">
      <c r="A161" s="120" t="s">
        <v>1271</v>
      </c>
      <c r="B161" s="121" t="s">
        <v>1272</v>
      </c>
      <c r="C161" s="121" t="s">
        <v>1273</v>
      </c>
      <c r="D161" s="154">
        <v>2.5000000000000001E-2</v>
      </c>
      <c r="E161" s="154">
        <f t="shared" si="10"/>
        <v>2.5041093075816721E-2</v>
      </c>
      <c r="F161" s="155">
        <f t="shared" si="8"/>
        <v>4635.1391856982527</v>
      </c>
      <c r="G161" s="156">
        <f t="shared" si="9"/>
        <v>1545.0463952327509</v>
      </c>
      <c r="H161" s="122">
        <v>1042</v>
      </c>
      <c r="I161" s="124">
        <f t="shared" si="11"/>
        <v>503.04639523275091</v>
      </c>
    </row>
    <row r="162" spans="1:9" ht="12" customHeight="1" x14ac:dyDescent="0.2">
      <c r="A162" s="120" t="s">
        <v>1274</v>
      </c>
      <c r="B162" s="121" t="s">
        <v>1275</v>
      </c>
      <c r="C162" s="121" t="s">
        <v>1276</v>
      </c>
      <c r="D162" s="154">
        <v>0.01</v>
      </c>
      <c r="E162" s="154">
        <f t="shared" si="10"/>
        <v>1.0016437230326688E-2</v>
      </c>
      <c r="F162" s="155">
        <f t="shared" si="8"/>
        <v>1854.055674279301</v>
      </c>
      <c r="G162" s="156">
        <f t="shared" si="9"/>
        <v>618.0185580931003</v>
      </c>
      <c r="H162" s="122">
        <v>549</v>
      </c>
      <c r="I162" s="124">
        <f t="shared" si="11"/>
        <v>69.018558093100296</v>
      </c>
    </row>
    <row r="163" spans="1:9" ht="12" customHeight="1" x14ac:dyDescent="0.2">
      <c r="A163" s="120" t="s">
        <v>1277</v>
      </c>
      <c r="B163" s="121" t="s">
        <v>1278</v>
      </c>
      <c r="C163" s="121" t="s">
        <v>1279</v>
      </c>
      <c r="D163" s="154">
        <v>4.0000000000000001E-3</v>
      </c>
      <c r="E163" s="154">
        <f t="shared" si="10"/>
        <v>4.0065748921306755E-3</v>
      </c>
      <c r="F163" s="155">
        <f t="shared" si="8"/>
        <v>741.62226971172049</v>
      </c>
      <c r="G163" s="156">
        <f t="shared" si="9"/>
        <v>247.20742323724016</v>
      </c>
      <c r="H163" s="122">
        <v>165</v>
      </c>
      <c r="I163" s="124">
        <f t="shared" si="11"/>
        <v>82.207423237240164</v>
      </c>
    </row>
    <row r="164" spans="1:9" ht="12" customHeight="1" x14ac:dyDescent="0.2">
      <c r="A164" s="120" t="s">
        <v>1280</v>
      </c>
      <c r="B164" s="121" t="s">
        <v>1281</v>
      </c>
      <c r="C164" s="121" t="s">
        <v>1282</v>
      </c>
      <c r="D164" s="154">
        <v>3.0000000000000001E-3</v>
      </c>
      <c r="E164" s="154">
        <f t="shared" si="10"/>
        <v>3.0049311690980066E-3</v>
      </c>
      <c r="F164" s="155">
        <f t="shared" si="8"/>
        <v>556.21670228379037</v>
      </c>
      <c r="G164" s="156">
        <f t="shared" si="9"/>
        <v>185.40556742793012</v>
      </c>
      <c r="H164" s="122">
        <v>165</v>
      </c>
      <c r="I164" s="124">
        <f t="shared" si="11"/>
        <v>20.405567427930123</v>
      </c>
    </row>
    <row r="165" spans="1:9" ht="12" customHeight="1" x14ac:dyDescent="0.2">
      <c r="A165" s="120" t="s">
        <v>1283</v>
      </c>
      <c r="B165" s="121" t="s">
        <v>1284</v>
      </c>
      <c r="C165" s="121" t="s">
        <v>1285</v>
      </c>
      <c r="D165" s="154">
        <v>0.96</v>
      </c>
      <c r="E165" s="154">
        <f t="shared" si="10"/>
        <v>0.96157797411136203</v>
      </c>
      <c r="F165" s="155">
        <f t="shared" si="8"/>
        <v>177989.34473081291</v>
      </c>
      <c r="G165" s="156">
        <f t="shared" si="9"/>
        <v>59329.781576937639</v>
      </c>
      <c r="H165" s="122">
        <v>58363</v>
      </c>
      <c r="I165" s="124">
        <f t="shared" si="11"/>
        <v>966.78157693763933</v>
      </c>
    </row>
    <row r="166" spans="1:9" ht="12" customHeight="1" x14ac:dyDescent="0.2">
      <c r="A166" s="120" t="s">
        <v>1286</v>
      </c>
      <c r="B166" s="121" t="s">
        <v>1287</v>
      </c>
      <c r="C166" s="121" t="s">
        <v>1288</v>
      </c>
      <c r="D166" s="154">
        <v>1.0469999999999999</v>
      </c>
      <c r="E166" s="154">
        <f t="shared" si="10"/>
        <v>1.0487209780152043</v>
      </c>
      <c r="F166" s="155">
        <f t="shared" si="8"/>
        <v>194119.62909704284</v>
      </c>
      <c r="G166" s="156">
        <f t="shared" si="9"/>
        <v>64706.54303234761</v>
      </c>
      <c r="H166" s="122">
        <v>61983</v>
      </c>
      <c r="I166" s="124">
        <f t="shared" si="11"/>
        <v>2723.5430323476103</v>
      </c>
    </row>
    <row r="167" spans="1:9" ht="12" customHeight="1" x14ac:dyDescent="0.2">
      <c r="A167" s="120" t="s">
        <v>1289</v>
      </c>
      <c r="B167" s="121" t="s">
        <v>1290</v>
      </c>
      <c r="C167" s="121" t="s">
        <v>1291</v>
      </c>
      <c r="D167" s="154">
        <v>3.5999999999999997E-2</v>
      </c>
      <c r="E167" s="154">
        <f t="shared" si="10"/>
        <v>3.6059174029176078E-2</v>
      </c>
      <c r="F167" s="155">
        <f t="shared" si="8"/>
        <v>6674.600427405484</v>
      </c>
      <c r="G167" s="156">
        <f t="shared" si="9"/>
        <v>2224.8668091351615</v>
      </c>
      <c r="H167" s="122">
        <v>1372</v>
      </c>
      <c r="I167" s="124">
        <f t="shared" si="11"/>
        <v>852.86680913516147</v>
      </c>
    </row>
    <row r="168" spans="1:9" ht="12" customHeight="1" x14ac:dyDescent="0.2">
      <c r="A168" s="120" t="s">
        <v>1292</v>
      </c>
      <c r="B168" s="121" t="s">
        <v>1293</v>
      </c>
      <c r="C168" s="121" t="s">
        <v>1294</v>
      </c>
      <c r="D168" s="154">
        <v>0.23899999999999999</v>
      </c>
      <c r="E168" s="154">
        <f t="shared" si="10"/>
        <v>0.23939284980480785</v>
      </c>
      <c r="F168" s="155">
        <f t="shared" si="8"/>
        <v>44311.930615275298</v>
      </c>
      <c r="G168" s="156">
        <f t="shared" si="9"/>
        <v>14770.6435384251</v>
      </c>
      <c r="H168" s="122">
        <v>11464</v>
      </c>
      <c r="I168" s="124">
        <f t="shared" si="11"/>
        <v>3306.6435384250999</v>
      </c>
    </row>
    <row r="169" spans="1:9" ht="12" customHeight="1" x14ac:dyDescent="0.2">
      <c r="A169" s="120" t="s">
        <v>1295</v>
      </c>
      <c r="B169" s="121" t="s">
        <v>1296</v>
      </c>
      <c r="C169" s="121" t="s">
        <v>1297</v>
      </c>
      <c r="D169" s="154">
        <v>8.0000000000000002E-3</v>
      </c>
      <c r="E169" s="154">
        <f t="shared" si="10"/>
        <v>8.013149784261351E-3</v>
      </c>
      <c r="F169" s="155">
        <f t="shared" si="8"/>
        <v>1483.244539423441</v>
      </c>
      <c r="G169" s="156">
        <f t="shared" si="9"/>
        <v>494.41484647448033</v>
      </c>
      <c r="H169" s="122">
        <v>384</v>
      </c>
      <c r="I169" s="124">
        <f t="shared" si="11"/>
        <v>110.41484647448033</v>
      </c>
    </row>
    <row r="170" spans="1:9" ht="12" customHeight="1" x14ac:dyDescent="0.2">
      <c r="A170" s="120" t="s">
        <v>1298</v>
      </c>
      <c r="B170" s="121" t="s">
        <v>1299</v>
      </c>
      <c r="C170" s="121" t="s">
        <v>1300</v>
      </c>
      <c r="D170" s="154">
        <v>1E-3</v>
      </c>
      <c r="E170" s="154">
        <f t="shared" si="10"/>
        <v>1.0016437230326689E-3</v>
      </c>
      <c r="F170" s="155">
        <f t="shared" si="8"/>
        <v>185.40556742793012</v>
      </c>
      <c r="G170" s="156">
        <f t="shared" si="9"/>
        <v>61.801855809310041</v>
      </c>
      <c r="H170" s="122">
        <v>55</v>
      </c>
      <c r="I170" s="124">
        <f t="shared" si="11"/>
        <v>6.801855809310041</v>
      </c>
    </row>
    <row r="171" spans="1:9" ht="12" customHeight="1" x14ac:dyDescent="0.2">
      <c r="A171" s="120" t="s">
        <v>1301</v>
      </c>
      <c r="B171" s="121" t="s">
        <v>1302</v>
      </c>
      <c r="C171" s="121" t="s">
        <v>1303</v>
      </c>
      <c r="D171" s="154">
        <v>4.3999999999999997E-2</v>
      </c>
      <c r="E171" s="154">
        <f t="shared" si="10"/>
        <v>4.4072323813437425E-2</v>
      </c>
      <c r="F171" s="155">
        <f t="shared" si="8"/>
        <v>8157.844966828924</v>
      </c>
      <c r="G171" s="156">
        <f t="shared" si="9"/>
        <v>2719.2816556096413</v>
      </c>
      <c r="H171" s="122">
        <v>2414</v>
      </c>
      <c r="I171" s="124">
        <f t="shared" si="11"/>
        <v>305.28165560964135</v>
      </c>
    </row>
    <row r="172" spans="1:9" ht="12" customHeight="1" x14ac:dyDescent="0.2">
      <c r="A172" s="120" t="s">
        <v>1304</v>
      </c>
      <c r="B172" s="121" t="s">
        <v>1305</v>
      </c>
      <c r="C172" s="121" t="s">
        <v>1306</v>
      </c>
      <c r="D172" s="154">
        <v>3.5999999999999997E-2</v>
      </c>
      <c r="E172" s="154">
        <f t="shared" si="10"/>
        <v>3.6059174029176078E-2</v>
      </c>
      <c r="F172" s="155">
        <f t="shared" si="8"/>
        <v>6674.600427405484</v>
      </c>
      <c r="G172" s="156">
        <f t="shared" si="9"/>
        <v>2224.8668091351615</v>
      </c>
      <c r="H172" s="122">
        <v>1646</v>
      </c>
      <c r="I172" s="124">
        <f t="shared" si="11"/>
        <v>578.86680913516147</v>
      </c>
    </row>
    <row r="173" spans="1:9" ht="12" customHeight="1" x14ac:dyDescent="0.2">
      <c r="A173" s="120" t="s">
        <v>1307</v>
      </c>
      <c r="B173" s="121" t="s">
        <v>1308</v>
      </c>
      <c r="C173" s="121" t="s">
        <v>1309</v>
      </c>
      <c r="D173" s="154">
        <v>1.3280000000000001</v>
      </c>
      <c r="E173" s="154">
        <f t="shared" si="10"/>
        <v>1.3301828641873843</v>
      </c>
      <c r="F173" s="155">
        <f t="shared" si="8"/>
        <v>246218.59354429122</v>
      </c>
      <c r="G173" s="156">
        <f t="shared" si="9"/>
        <v>82072.864514763744</v>
      </c>
      <c r="H173" s="122">
        <v>33844</v>
      </c>
      <c r="I173" s="124">
        <f t="shared" si="11"/>
        <v>48228.864514763744</v>
      </c>
    </row>
    <row r="174" spans="1:9" ht="12" customHeight="1" x14ac:dyDescent="0.2">
      <c r="A174" s="120" t="s">
        <v>1310</v>
      </c>
      <c r="B174" s="121" t="s">
        <v>1311</v>
      </c>
      <c r="C174" s="121" t="s">
        <v>1312</v>
      </c>
      <c r="D174" s="154">
        <v>6.0000000000000001E-3</v>
      </c>
      <c r="E174" s="154">
        <f t="shared" si="10"/>
        <v>6.0098623381960132E-3</v>
      </c>
      <c r="F174" s="155">
        <f t="shared" si="8"/>
        <v>1112.4334045675807</v>
      </c>
      <c r="G174" s="156">
        <f t="shared" si="9"/>
        <v>370.81113485586025</v>
      </c>
      <c r="H174" s="122">
        <v>329</v>
      </c>
      <c r="I174" s="124">
        <f t="shared" si="11"/>
        <v>41.811134855860246</v>
      </c>
    </row>
    <row r="175" spans="1:9" ht="12" customHeight="1" x14ac:dyDescent="0.2">
      <c r="A175" s="120" t="s">
        <v>1313</v>
      </c>
      <c r="B175" s="121" t="s">
        <v>1314</v>
      </c>
      <c r="C175" s="121" t="s">
        <v>1315</v>
      </c>
      <c r="D175" s="154">
        <v>9.9000000000000005E-2</v>
      </c>
      <c r="E175" s="154">
        <f t="shared" si="10"/>
        <v>9.9162728580234213E-2</v>
      </c>
      <c r="F175" s="155">
        <f t="shared" si="8"/>
        <v>18355.151175365081</v>
      </c>
      <c r="G175" s="156">
        <f t="shared" si="9"/>
        <v>6118.3837251216937</v>
      </c>
      <c r="H175" s="122">
        <v>4772</v>
      </c>
      <c r="I175" s="124">
        <f t="shared" si="11"/>
        <v>1346.3837251216937</v>
      </c>
    </row>
    <row r="176" spans="1:9" ht="12" customHeight="1" x14ac:dyDescent="0.2">
      <c r="A176" s="120" t="s">
        <v>1316</v>
      </c>
      <c r="B176" s="121" t="s">
        <v>1317</v>
      </c>
      <c r="C176" s="121" t="s">
        <v>1318</v>
      </c>
      <c r="D176" s="154">
        <v>0.59499999999999997</v>
      </c>
      <c r="E176" s="154">
        <f t="shared" si="10"/>
        <v>0.59597801520443794</v>
      </c>
      <c r="F176" s="155">
        <f t="shared" si="8"/>
        <v>110316.31261961842</v>
      </c>
      <c r="G176" s="156">
        <f t="shared" si="9"/>
        <v>36772.104206539472</v>
      </c>
      <c r="H176" s="122">
        <v>21447</v>
      </c>
      <c r="I176" s="124">
        <f t="shared" si="11"/>
        <v>15325.104206539472</v>
      </c>
    </row>
    <row r="177" spans="1:9" ht="12" customHeight="1" x14ac:dyDescent="0.2">
      <c r="A177" s="120" t="s">
        <v>1319</v>
      </c>
      <c r="B177" s="121" t="s">
        <v>1320</v>
      </c>
      <c r="C177" s="121" t="s">
        <v>1321</v>
      </c>
      <c r="D177" s="154">
        <v>5.1790000000000003</v>
      </c>
      <c r="E177" s="154">
        <f t="shared" si="10"/>
        <v>5.1875128415861926</v>
      </c>
      <c r="F177" s="155">
        <f t="shared" si="8"/>
        <v>960215.4337092503</v>
      </c>
      <c r="G177" s="156">
        <f t="shared" si="9"/>
        <v>320071.81123641675</v>
      </c>
      <c r="H177" s="122">
        <v>362243</v>
      </c>
      <c r="I177" s="124">
        <f t="shared" si="11"/>
        <v>-42171.188763583254</v>
      </c>
    </row>
    <row r="178" spans="1:9" ht="12" customHeight="1" x14ac:dyDescent="0.2">
      <c r="A178" s="120" t="s">
        <v>1322</v>
      </c>
      <c r="B178" s="121" t="s">
        <v>1323</v>
      </c>
      <c r="C178" s="121" t="s">
        <v>1324</v>
      </c>
      <c r="D178" s="154">
        <v>8.9999999999999993E-3</v>
      </c>
      <c r="E178" s="154">
        <f t="shared" si="10"/>
        <v>9.0147935072940194E-3</v>
      </c>
      <c r="F178" s="155">
        <f t="shared" si="8"/>
        <v>1668.650106851371</v>
      </c>
      <c r="G178" s="156">
        <f t="shared" si="9"/>
        <v>556.21670228379037</v>
      </c>
      <c r="H178" s="122">
        <v>439</v>
      </c>
      <c r="I178" s="128">
        <f t="shared" si="11"/>
        <v>117.21670228379037</v>
      </c>
    </row>
    <row r="179" spans="1:9" ht="12" customHeight="1" x14ac:dyDescent="0.2">
      <c r="A179" s="120" t="s">
        <v>1325</v>
      </c>
      <c r="B179" s="121" t="s">
        <v>1326</v>
      </c>
      <c r="C179" s="121" t="s">
        <v>1327</v>
      </c>
      <c r="D179" s="154">
        <v>22</v>
      </c>
      <c r="E179" s="154">
        <v>22</v>
      </c>
      <c r="F179" s="155">
        <f t="shared" si="8"/>
        <v>4072228.8670314238</v>
      </c>
      <c r="G179" s="156">
        <f t="shared" si="9"/>
        <v>1357409.6223438079</v>
      </c>
      <c r="H179" s="122">
        <v>1204347</v>
      </c>
      <c r="I179" s="124">
        <f t="shared" si="11"/>
        <v>153062.62234380795</v>
      </c>
    </row>
    <row r="180" spans="1:9" ht="12" customHeight="1" x14ac:dyDescent="0.2">
      <c r="A180" s="120" t="s">
        <v>1328</v>
      </c>
      <c r="B180" s="121" t="s">
        <v>1329</v>
      </c>
      <c r="C180" s="121" t="s">
        <v>1330</v>
      </c>
      <c r="D180" s="154">
        <v>5.1999999999999998E-2</v>
      </c>
      <c r="E180" s="154">
        <f t="shared" si="10"/>
        <v>5.208547359769878E-2</v>
      </c>
      <c r="F180" s="155">
        <f t="shared" si="8"/>
        <v>9641.0895062523668</v>
      </c>
      <c r="G180" s="156">
        <f t="shared" si="9"/>
        <v>3213.6965020841221</v>
      </c>
      <c r="H180" s="122">
        <v>1481</v>
      </c>
      <c r="I180" s="124">
        <f t="shared" si="11"/>
        <v>1732.6965020841221</v>
      </c>
    </row>
    <row r="181" spans="1:9" ht="12" customHeight="1" x14ac:dyDescent="0.2">
      <c r="A181" s="120" t="s">
        <v>1331</v>
      </c>
      <c r="B181" s="121" t="s">
        <v>1332</v>
      </c>
      <c r="C181" s="121" t="s">
        <v>1333</v>
      </c>
      <c r="D181" s="154">
        <v>1.4999999999999999E-2</v>
      </c>
      <c r="E181" s="154">
        <f t="shared" si="10"/>
        <v>1.5024655845490032E-2</v>
      </c>
      <c r="F181" s="155">
        <f t="shared" si="8"/>
        <v>2781.0835114189517</v>
      </c>
      <c r="G181" s="156">
        <f t="shared" si="9"/>
        <v>927.02783713965061</v>
      </c>
      <c r="H181" s="122">
        <v>549</v>
      </c>
      <c r="I181" s="124">
        <f t="shared" si="11"/>
        <v>378.02783713965061</v>
      </c>
    </row>
    <row r="182" spans="1:9" ht="12" customHeight="1" x14ac:dyDescent="0.2">
      <c r="A182" s="120" t="s">
        <v>1334</v>
      </c>
      <c r="B182" s="121" t="s">
        <v>1335</v>
      </c>
      <c r="C182" s="121" t="s">
        <v>1336</v>
      </c>
      <c r="D182" s="154">
        <v>1E-3</v>
      </c>
      <c r="E182" s="154">
        <f t="shared" si="10"/>
        <v>1.0016437230326689E-3</v>
      </c>
      <c r="F182" s="155">
        <f t="shared" si="8"/>
        <v>185.40556742793012</v>
      </c>
      <c r="G182" s="156">
        <f t="shared" si="9"/>
        <v>61.801855809310041</v>
      </c>
      <c r="H182" s="122">
        <v>55</v>
      </c>
      <c r="I182" s="124">
        <f t="shared" si="11"/>
        <v>6.801855809310041</v>
      </c>
    </row>
    <row r="183" spans="1:9" ht="12" customHeight="1" x14ac:dyDescent="0.2">
      <c r="A183" s="129" t="s">
        <v>1337</v>
      </c>
      <c r="B183" s="121" t="s">
        <v>1338</v>
      </c>
      <c r="C183" s="121" t="s">
        <v>1339</v>
      </c>
      <c r="D183" s="154">
        <v>0.627</v>
      </c>
      <c r="E183" s="154">
        <f t="shared" si="10"/>
        <v>0.62803061434148333</v>
      </c>
      <c r="F183" s="155">
        <f t="shared" si="8"/>
        <v>116249.29077731218</v>
      </c>
      <c r="G183" s="156">
        <f t="shared" si="9"/>
        <v>38749.763592437397</v>
      </c>
      <c r="H183" s="122">
        <v>17224</v>
      </c>
      <c r="I183" s="124">
        <f t="shared" si="11"/>
        <v>21525.763592437397</v>
      </c>
    </row>
    <row r="184" spans="1:9" ht="12" customHeight="1" x14ac:dyDescent="0.2">
      <c r="A184" s="120" t="s">
        <v>1340</v>
      </c>
      <c r="B184" s="121" t="s">
        <v>1341</v>
      </c>
      <c r="C184" s="121" t="s">
        <v>1342</v>
      </c>
      <c r="D184" s="154">
        <v>4.2000000000000003E-2</v>
      </c>
      <c r="E184" s="154">
        <f t="shared" si="10"/>
        <v>4.2069036367372095E-2</v>
      </c>
      <c r="F184" s="155">
        <f t="shared" si="8"/>
        <v>7787.0338319730654</v>
      </c>
      <c r="G184" s="156">
        <f t="shared" si="9"/>
        <v>2595.6779439910219</v>
      </c>
      <c r="H184" s="122">
        <v>1810</v>
      </c>
      <c r="I184" s="124">
        <f t="shared" si="11"/>
        <v>785.67794399102195</v>
      </c>
    </row>
    <row r="185" spans="1:9" ht="12" customHeight="1" x14ac:dyDescent="0.2">
      <c r="A185" s="120" t="s">
        <v>1343</v>
      </c>
      <c r="B185" s="121" t="s">
        <v>1344</v>
      </c>
      <c r="C185" s="121" t="s">
        <v>1345</v>
      </c>
      <c r="D185" s="154">
        <v>0.01</v>
      </c>
      <c r="E185" s="154">
        <f>D185*(100-22)/($D$188-22)</f>
        <v>1.0016437230326688E-2</v>
      </c>
      <c r="F185" s="155">
        <f t="shared" si="8"/>
        <v>1854.055674279301</v>
      </c>
      <c r="G185" s="156">
        <f t="shared" si="9"/>
        <v>618.0185580931003</v>
      </c>
      <c r="H185" s="122">
        <v>549</v>
      </c>
      <c r="I185" s="124">
        <f t="shared" si="11"/>
        <v>69.018558093100296</v>
      </c>
    </row>
    <row r="186" spans="1:9" ht="12" customHeight="1" x14ac:dyDescent="0.2">
      <c r="A186" s="120" t="s">
        <v>1346</v>
      </c>
      <c r="B186" s="121" t="s">
        <v>1347</v>
      </c>
      <c r="C186" s="121" t="s">
        <v>1348</v>
      </c>
      <c r="D186" s="154">
        <v>6.0000000000000001E-3</v>
      </c>
      <c r="E186" s="154">
        <f t="shared" si="10"/>
        <v>6.0098623381960132E-3</v>
      </c>
      <c r="F186" s="155">
        <f t="shared" si="8"/>
        <v>1112.4334045675807</v>
      </c>
      <c r="G186" s="156">
        <f t="shared" si="9"/>
        <v>370.81113485586025</v>
      </c>
      <c r="H186" s="122">
        <v>220</v>
      </c>
      <c r="I186" s="124">
        <f t="shared" si="11"/>
        <v>150.81113485586025</v>
      </c>
    </row>
    <row r="187" spans="1:9" ht="12" customHeight="1" x14ac:dyDescent="0.2">
      <c r="A187" s="120" t="s">
        <v>1349</v>
      </c>
      <c r="B187" s="121" t="s">
        <v>1350</v>
      </c>
      <c r="C187" s="121" t="s">
        <v>1351</v>
      </c>
      <c r="D187" s="154">
        <v>2E-3</v>
      </c>
      <c r="E187" s="154">
        <f t="shared" si="10"/>
        <v>2.0032874460653377E-3</v>
      </c>
      <c r="F187" s="155">
        <f t="shared" si="8"/>
        <v>370.81113485586025</v>
      </c>
      <c r="G187" s="156">
        <f t="shared" si="9"/>
        <v>123.60371161862008</v>
      </c>
      <c r="H187" s="122">
        <v>165</v>
      </c>
      <c r="I187" s="124">
        <f t="shared" si="11"/>
        <v>-41.396288381379918</v>
      </c>
    </row>
    <row r="188" spans="1:9" ht="12" customHeight="1" x14ac:dyDescent="0.2">
      <c r="A188" s="130" t="s">
        <v>1352</v>
      </c>
      <c r="B188" s="130" t="s">
        <v>1353</v>
      </c>
      <c r="C188" s="130" t="s">
        <v>1354</v>
      </c>
      <c r="D188" s="157">
        <f>SUM(D9:D187)</f>
        <v>99.872000000000014</v>
      </c>
      <c r="E188" s="157">
        <f>SUM(E9:E187)</f>
        <v>99.999999999999858</v>
      </c>
      <c r="F188" s="131">
        <f>SUM(F9:F187)</f>
        <v>18510131.213779211</v>
      </c>
      <c r="G188" s="131">
        <f>SUM(G9:G187)</f>
        <v>6170043.7379264031</v>
      </c>
      <c r="H188" s="131">
        <f>SUM(H9:H187)</f>
        <v>5474346</v>
      </c>
      <c r="I188" s="132">
        <f t="shared" si="11"/>
        <v>695697.73792640306</v>
      </c>
    </row>
    <row r="189" spans="1:9" x14ac:dyDescent="0.2">
      <c r="F189" s="158"/>
      <c r="G189" s="133"/>
    </row>
    <row r="190" spans="1:9" x14ac:dyDescent="0.2">
      <c r="A190" s="134"/>
      <c r="F190" s="158"/>
      <c r="G190" s="158"/>
    </row>
    <row r="191" spans="1:9" x14ac:dyDescent="0.2">
      <c r="A191" s="135" t="s">
        <v>1355</v>
      </c>
      <c r="D191" s="136"/>
    </row>
    <row r="192" spans="1:9" x14ac:dyDescent="0.2">
      <c r="A192" s="137">
        <v>2014</v>
      </c>
      <c r="D192" s="151">
        <f>'CTL budget'!H133</f>
        <v>5836735.2120000003</v>
      </c>
      <c r="E192" s="151"/>
      <c r="G192" s="174" t="s">
        <v>1356</v>
      </c>
    </row>
    <row r="193" spans="1:7" x14ac:dyDescent="0.2">
      <c r="A193" s="137">
        <v>2015</v>
      </c>
      <c r="D193" s="151">
        <f>'CTL budget'!K133</f>
        <v>6018089.0204799995</v>
      </c>
      <c r="E193" s="151"/>
      <c r="F193" s="172">
        <f>D193*0.025</f>
        <v>150452.225512</v>
      </c>
      <c r="G193" s="172">
        <f>F193/12*6</f>
        <v>75226.112756000002</v>
      </c>
    </row>
    <row r="194" spans="1:7" x14ac:dyDescent="0.2">
      <c r="A194" s="138">
        <v>2016</v>
      </c>
      <c r="D194" s="151">
        <f>'CTL budget'!N133</f>
        <v>6655306.9812991992</v>
      </c>
      <c r="E194" s="151"/>
    </row>
    <row r="195" spans="1:7" x14ac:dyDescent="0.2">
      <c r="A195" s="139" t="s">
        <v>1357</v>
      </c>
      <c r="D195" s="152">
        <f>SUM(D192:D194)</f>
        <v>18510131.2137792</v>
      </c>
      <c r="E195" s="151"/>
    </row>
    <row r="196" spans="1:7" x14ac:dyDescent="0.2">
      <c r="A196" s="140"/>
      <c r="D196" s="141"/>
    </row>
    <row r="198" spans="1:7" ht="26.25" customHeight="1" x14ac:dyDescent="0.2">
      <c r="A198" s="314" t="s">
        <v>1358</v>
      </c>
      <c r="B198" s="314"/>
      <c r="C198" s="314"/>
      <c r="D198" s="314"/>
      <c r="E198" s="314"/>
      <c r="F198" s="314"/>
      <c r="G198" s="314"/>
    </row>
    <row r="201" spans="1:7" x14ac:dyDescent="0.2">
      <c r="A201" s="160"/>
    </row>
  </sheetData>
  <mergeCells count="5">
    <mergeCell ref="A198:G198"/>
    <mergeCell ref="A6:G6"/>
    <mergeCell ref="A3:I3"/>
    <mergeCell ref="A4:I4"/>
    <mergeCell ref="A5:I5"/>
  </mergeCells>
  <phoneticPr fontId="2" type="noConversion"/>
  <printOptions horizontalCentered="1"/>
  <pageMargins left="0" right="0" top="0.78740157480314965" bottom="0.59055118110236227" header="0.51181102362204722" footer="0.31496062992125984"/>
  <pageSetup paperSize="9" scale="85" orientation="portrait" r:id="rId1"/>
  <headerFooter alignWithMargins="0">
    <oddFooter>&amp;CResolution Conf. 16.2, Annex 4 – p. &amp;P</oddFooter>
  </headerFooter>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6:K26"/>
  <sheetViews>
    <sheetView workbookViewId="0">
      <selection activeCell="D41" sqref="D41"/>
    </sheetView>
  </sheetViews>
  <sheetFormatPr defaultRowHeight="12.75" x14ac:dyDescent="0.2"/>
  <cols>
    <col min="1" max="1" width="5.140625" customWidth="1"/>
    <col min="2" max="2" width="21.5703125" customWidth="1"/>
    <col min="3" max="3" width="12" customWidth="1"/>
    <col min="4" max="5" width="12.140625" customWidth="1"/>
    <col min="6" max="6" width="12.28515625" customWidth="1"/>
    <col min="7" max="7" width="5.28515625" customWidth="1"/>
    <col min="8" max="11" width="11.28515625" bestFit="1" customWidth="1"/>
    <col min="257" max="257" width="5.140625" customWidth="1"/>
    <col min="258" max="258" width="26.140625" customWidth="1"/>
    <col min="259" max="262" width="13.7109375" customWidth="1"/>
    <col min="513" max="513" width="5.140625" customWidth="1"/>
    <col min="514" max="514" width="26.140625" customWidth="1"/>
    <col min="515" max="518" width="13.7109375" customWidth="1"/>
    <col min="769" max="769" width="5.140625" customWidth="1"/>
    <col min="770" max="770" width="26.140625" customWidth="1"/>
    <col min="771" max="774" width="13.7109375" customWidth="1"/>
    <col min="1025" max="1025" width="5.140625" customWidth="1"/>
    <col min="1026" max="1026" width="26.140625" customWidth="1"/>
    <col min="1027" max="1030" width="13.7109375" customWidth="1"/>
    <col min="1281" max="1281" width="5.140625" customWidth="1"/>
    <col min="1282" max="1282" width="26.140625" customWidth="1"/>
    <col min="1283" max="1286" width="13.7109375" customWidth="1"/>
    <col min="1537" max="1537" width="5.140625" customWidth="1"/>
    <col min="1538" max="1538" width="26.140625" customWidth="1"/>
    <col min="1539" max="1542" width="13.7109375" customWidth="1"/>
    <col min="1793" max="1793" width="5.140625" customWidth="1"/>
    <col min="1794" max="1794" width="26.140625" customWidth="1"/>
    <col min="1795" max="1798" width="13.7109375" customWidth="1"/>
    <col min="2049" max="2049" width="5.140625" customWidth="1"/>
    <col min="2050" max="2050" width="26.140625" customWidth="1"/>
    <col min="2051" max="2054" width="13.7109375" customWidth="1"/>
    <col min="2305" max="2305" width="5.140625" customWidth="1"/>
    <col min="2306" max="2306" width="26.140625" customWidth="1"/>
    <col min="2307" max="2310" width="13.7109375" customWidth="1"/>
    <col min="2561" max="2561" width="5.140625" customWidth="1"/>
    <col min="2562" max="2562" width="26.140625" customWidth="1"/>
    <col min="2563" max="2566" width="13.7109375" customWidth="1"/>
    <col min="2817" max="2817" width="5.140625" customWidth="1"/>
    <col min="2818" max="2818" width="26.140625" customWidth="1"/>
    <col min="2819" max="2822" width="13.7109375" customWidth="1"/>
    <col min="3073" max="3073" width="5.140625" customWidth="1"/>
    <col min="3074" max="3074" width="26.140625" customWidth="1"/>
    <col min="3075" max="3078" width="13.7109375" customWidth="1"/>
    <col min="3329" max="3329" width="5.140625" customWidth="1"/>
    <col min="3330" max="3330" width="26.140625" customWidth="1"/>
    <col min="3331" max="3334" width="13.7109375" customWidth="1"/>
    <col min="3585" max="3585" width="5.140625" customWidth="1"/>
    <col min="3586" max="3586" width="26.140625" customWidth="1"/>
    <col min="3587" max="3590" width="13.7109375" customWidth="1"/>
    <col min="3841" max="3841" width="5.140625" customWidth="1"/>
    <col min="3842" max="3842" width="26.140625" customWidth="1"/>
    <col min="3843" max="3846" width="13.7109375" customWidth="1"/>
    <col min="4097" max="4097" width="5.140625" customWidth="1"/>
    <col min="4098" max="4098" width="26.140625" customWidth="1"/>
    <col min="4099" max="4102" width="13.7109375" customWidth="1"/>
    <col min="4353" max="4353" width="5.140625" customWidth="1"/>
    <col min="4354" max="4354" width="26.140625" customWidth="1"/>
    <col min="4355" max="4358" width="13.7109375" customWidth="1"/>
    <col min="4609" max="4609" width="5.140625" customWidth="1"/>
    <col min="4610" max="4610" width="26.140625" customWidth="1"/>
    <col min="4611" max="4614" width="13.7109375" customWidth="1"/>
    <col min="4865" max="4865" width="5.140625" customWidth="1"/>
    <col min="4866" max="4866" width="26.140625" customWidth="1"/>
    <col min="4867" max="4870" width="13.7109375" customWidth="1"/>
    <col min="5121" max="5121" width="5.140625" customWidth="1"/>
    <col min="5122" max="5122" width="26.140625" customWidth="1"/>
    <col min="5123" max="5126" width="13.7109375" customWidth="1"/>
    <col min="5377" max="5377" width="5.140625" customWidth="1"/>
    <col min="5378" max="5378" width="26.140625" customWidth="1"/>
    <col min="5379" max="5382" width="13.7109375" customWidth="1"/>
    <col min="5633" max="5633" width="5.140625" customWidth="1"/>
    <col min="5634" max="5634" width="26.140625" customWidth="1"/>
    <col min="5635" max="5638" width="13.7109375" customWidth="1"/>
    <col min="5889" max="5889" width="5.140625" customWidth="1"/>
    <col min="5890" max="5890" width="26.140625" customWidth="1"/>
    <col min="5891" max="5894" width="13.7109375" customWidth="1"/>
    <col min="6145" max="6145" width="5.140625" customWidth="1"/>
    <col min="6146" max="6146" width="26.140625" customWidth="1"/>
    <col min="6147" max="6150" width="13.7109375" customWidth="1"/>
    <col min="6401" max="6401" width="5.140625" customWidth="1"/>
    <col min="6402" max="6402" width="26.140625" customWidth="1"/>
    <col min="6403" max="6406" width="13.7109375" customWidth="1"/>
    <col min="6657" max="6657" width="5.140625" customWidth="1"/>
    <col min="6658" max="6658" width="26.140625" customWidth="1"/>
    <col min="6659" max="6662" width="13.7109375" customWidth="1"/>
    <col min="6913" max="6913" width="5.140625" customWidth="1"/>
    <col min="6914" max="6914" width="26.140625" customWidth="1"/>
    <col min="6915" max="6918" width="13.7109375" customWidth="1"/>
    <col min="7169" max="7169" width="5.140625" customWidth="1"/>
    <col min="7170" max="7170" width="26.140625" customWidth="1"/>
    <col min="7171" max="7174" width="13.7109375" customWidth="1"/>
    <col min="7425" max="7425" width="5.140625" customWidth="1"/>
    <col min="7426" max="7426" width="26.140625" customWidth="1"/>
    <col min="7427" max="7430" width="13.7109375" customWidth="1"/>
    <col min="7681" max="7681" width="5.140625" customWidth="1"/>
    <col min="7682" max="7682" width="26.140625" customWidth="1"/>
    <col min="7683" max="7686" width="13.7109375" customWidth="1"/>
    <col min="7937" max="7937" width="5.140625" customWidth="1"/>
    <col min="7938" max="7938" width="26.140625" customWidth="1"/>
    <col min="7939" max="7942" width="13.7109375" customWidth="1"/>
    <col min="8193" max="8193" width="5.140625" customWidth="1"/>
    <col min="8194" max="8194" width="26.140625" customWidth="1"/>
    <col min="8195" max="8198" width="13.7109375" customWidth="1"/>
    <col min="8449" max="8449" width="5.140625" customWidth="1"/>
    <col min="8450" max="8450" width="26.140625" customWidth="1"/>
    <col min="8451" max="8454" width="13.7109375" customWidth="1"/>
    <col min="8705" max="8705" width="5.140625" customWidth="1"/>
    <col min="8706" max="8706" width="26.140625" customWidth="1"/>
    <col min="8707" max="8710" width="13.7109375" customWidth="1"/>
    <col min="8961" max="8961" width="5.140625" customWidth="1"/>
    <col min="8962" max="8962" width="26.140625" customWidth="1"/>
    <col min="8963" max="8966" width="13.7109375" customWidth="1"/>
    <col min="9217" max="9217" width="5.140625" customWidth="1"/>
    <col min="9218" max="9218" width="26.140625" customWidth="1"/>
    <col min="9219" max="9222" width="13.7109375" customWidth="1"/>
    <col min="9473" max="9473" width="5.140625" customWidth="1"/>
    <col min="9474" max="9474" width="26.140625" customWidth="1"/>
    <col min="9475" max="9478" width="13.7109375" customWidth="1"/>
    <col min="9729" max="9729" width="5.140625" customWidth="1"/>
    <col min="9730" max="9730" width="26.140625" customWidth="1"/>
    <col min="9731" max="9734" width="13.7109375" customWidth="1"/>
    <col min="9985" max="9985" width="5.140625" customWidth="1"/>
    <col min="9986" max="9986" width="26.140625" customWidth="1"/>
    <col min="9987" max="9990" width="13.7109375" customWidth="1"/>
    <col min="10241" max="10241" width="5.140625" customWidth="1"/>
    <col min="10242" max="10242" width="26.140625" customWidth="1"/>
    <col min="10243" max="10246" width="13.7109375" customWidth="1"/>
    <col min="10497" max="10497" width="5.140625" customWidth="1"/>
    <col min="10498" max="10498" width="26.140625" customWidth="1"/>
    <col min="10499" max="10502" width="13.7109375" customWidth="1"/>
    <col min="10753" max="10753" width="5.140625" customWidth="1"/>
    <col min="10754" max="10754" width="26.140625" customWidth="1"/>
    <col min="10755" max="10758" width="13.7109375" customWidth="1"/>
    <col min="11009" max="11009" width="5.140625" customWidth="1"/>
    <col min="11010" max="11010" width="26.140625" customWidth="1"/>
    <col min="11011" max="11014" width="13.7109375" customWidth="1"/>
    <col min="11265" max="11265" width="5.140625" customWidth="1"/>
    <col min="11266" max="11266" width="26.140625" customWidth="1"/>
    <col min="11267" max="11270" width="13.7109375" customWidth="1"/>
    <col min="11521" max="11521" width="5.140625" customWidth="1"/>
    <col min="11522" max="11522" width="26.140625" customWidth="1"/>
    <col min="11523" max="11526" width="13.7109375" customWidth="1"/>
    <col min="11777" max="11777" width="5.140625" customWidth="1"/>
    <col min="11778" max="11778" width="26.140625" customWidth="1"/>
    <col min="11779" max="11782" width="13.7109375" customWidth="1"/>
    <col min="12033" max="12033" width="5.140625" customWidth="1"/>
    <col min="12034" max="12034" width="26.140625" customWidth="1"/>
    <col min="12035" max="12038" width="13.7109375" customWidth="1"/>
    <col min="12289" max="12289" width="5.140625" customWidth="1"/>
    <col min="12290" max="12290" width="26.140625" customWidth="1"/>
    <col min="12291" max="12294" width="13.7109375" customWidth="1"/>
    <col min="12545" max="12545" width="5.140625" customWidth="1"/>
    <col min="12546" max="12546" width="26.140625" customWidth="1"/>
    <col min="12547" max="12550" width="13.7109375" customWidth="1"/>
    <col min="12801" max="12801" width="5.140625" customWidth="1"/>
    <col min="12802" max="12802" width="26.140625" customWidth="1"/>
    <col min="12803" max="12806" width="13.7109375" customWidth="1"/>
    <col min="13057" max="13057" width="5.140625" customWidth="1"/>
    <col min="13058" max="13058" width="26.140625" customWidth="1"/>
    <col min="13059" max="13062" width="13.7109375" customWidth="1"/>
    <col min="13313" max="13313" width="5.140625" customWidth="1"/>
    <col min="13314" max="13314" width="26.140625" customWidth="1"/>
    <col min="13315" max="13318" width="13.7109375" customWidth="1"/>
    <col min="13569" max="13569" width="5.140625" customWidth="1"/>
    <col min="13570" max="13570" width="26.140625" customWidth="1"/>
    <col min="13571" max="13574" width="13.7109375" customWidth="1"/>
    <col min="13825" max="13825" width="5.140625" customWidth="1"/>
    <col min="13826" max="13826" width="26.140625" customWidth="1"/>
    <col min="13827" max="13830" width="13.7109375" customWidth="1"/>
    <col min="14081" max="14081" width="5.140625" customWidth="1"/>
    <col min="14082" max="14082" width="26.140625" customWidth="1"/>
    <col min="14083" max="14086" width="13.7109375" customWidth="1"/>
    <col min="14337" max="14337" width="5.140625" customWidth="1"/>
    <col min="14338" max="14338" width="26.140625" customWidth="1"/>
    <col min="14339" max="14342" width="13.7109375" customWidth="1"/>
    <col min="14593" max="14593" width="5.140625" customWidth="1"/>
    <col min="14594" max="14594" width="26.140625" customWidth="1"/>
    <col min="14595" max="14598" width="13.7109375" customWidth="1"/>
    <col min="14849" max="14849" width="5.140625" customWidth="1"/>
    <col min="14850" max="14850" width="26.140625" customWidth="1"/>
    <col min="14851" max="14854" width="13.7109375" customWidth="1"/>
    <col min="15105" max="15105" width="5.140625" customWidth="1"/>
    <col min="15106" max="15106" width="26.140625" customWidth="1"/>
    <col min="15107" max="15110" width="13.7109375" customWidth="1"/>
    <col min="15361" max="15361" width="5.140625" customWidth="1"/>
    <col min="15362" max="15362" width="26.140625" customWidth="1"/>
    <col min="15363" max="15366" width="13.7109375" customWidth="1"/>
    <col min="15617" max="15617" width="5.140625" customWidth="1"/>
    <col min="15618" max="15618" width="26.140625" customWidth="1"/>
    <col min="15619" max="15622" width="13.7109375" customWidth="1"/>
    <col min="15873" max="15873" width="5.140625" customWidth="1"/>
    <col min="15874" max="15874" width="26.140625" customWidth="1"/>
    <col min="15875" max="15878" width="13.7109375" customWidth="1"/>
    <col min="16129" max="16129" width="5.140625" customWidth="1"/>
    <col min="16130" max="16130" width="26.140625" customWidth="1"/>
    <col min="16131" max="16134" width="13.7109375" customWidth="1"/>
  </cols>
  <sheetData>
    <row r="6" spans="1:11" x14ac:dyDescent="0.2">
      <c r="A6" s="302" t="s">
        <v>1359</v>
      </c>
      <c r="B6" s="302"/>
      <c r="C6" s="302"/>
      <c r="D6" s="302"/>
      <c r="E6" s="302"/>
      <c r="F6" s="302"/>
    </row>
    <row r="7" spans="1:11" x14ac:dyDescent="0.2">
      <c r="A7" s="176"/>
      <c r="B7" s="176"/>
      <c r="C7" s="176"/>
      <c r="D7" s="176"/>
      <c r="E7" s="176"/>
    </row>
    <row r="8" spans="1:11" x14ac:dyDescent="0.2">
      <c r="A8" s="317" t="s">
        <v>1360</v>
      </c>
      <c r="B8" s="317"/>
      <c r="C8" s="189" t="s">
        <v>1361</v>
      </c>
      <c r="D8" s="190" t="s">
        <v>1362</v>
      </c>
      <c r="E8" s="190" t="s">
        <v>1363</v>
      </c>
      <c r="F8" s="190" t="s">
        <v>1364</v>
      </c>
      <c r="H8" s="209" t="s">
        <v>1365</v>
      </c>
      <c r="I8" s="209" t="s">
        <v>1366</v>
      </c>
      <c r="J8" s="209" t="s">
        <v>1367</v>
      </c>
      <c r="K8" s="209" t="s">
        <v>1368</v>
      </c>
    </row>
    <row r="9" spans="1:11" x14ac:dyDescent="0.2">
      <c r="A9" s="191"/>
      <c r="B9" s="191"/>
      <c r="C9" s="191"/>
      <c r="D9" s="191"/>
      <c r="E9" s="191"/>
      <c r="F9" s="191"/>
    </row>
    <row r="10" spans="1:11" x14ac:dyDescent="0.2">
      <c r="A10" s="192" t="s">
        <v>1369</v>
      </c>
      <c r="B10" s="193" t="s">
        <v>1370</v>
      </c>
      <c r="C10" s="193"/>
      <c r="D10" s="193"/>
      <c r="E10" s="193"/>
      <c r="F10" s="193"/>
    </row>
    <row r="11" spans="1:11" x14ac:dyDescent="0.2">
      <c r="A11" s="192"/>
      <c r="B11" s="193" t="s">
        <v>1371</v>
      </c>
      <c r="C11" s="194">
        <v>332160</v>
      </c>
      <c r="D11" s="194">
        <f t="shared" ref="D11:F16" si="0">C11*1.04</f>
        <v>345446.40000000002</v>
      </c>
      <c r="E11" s="194">
        <f t="shared" si="0"/>
        <v>359264.25600000005</v>
      </c>
      <c r="F11" s="194">
        <f t="shared" si="0"/>
        <v>373634.82624000008</v>
      </c>
      <c r="H11" s="110">
        <f>341800-22040</f>
        <v>319760</v>
      </c>
      <c r="I11" s="111">
        <f>H11*1.04</f>
        <v>332550.40000000002</v>
      </c>
      <c r="J11" s="111">
        <f>I11*1.04</f>
        <v>345852.41600000003</v>
      </c>
      <c r="K11" s="111">
        <f>J11*1.04</f>
        <v>359686.51264000003</v>
      </c>
    </row>
    <row r="12" spans="1:11" x14ac:dyDescent="0.2">
      <c r="A12" s="193"/>
      <c r="B12" s="193" t="s">
        <v>1372</v>
      </c>
      <c r="C12" s="195">
        <f>326000-33200</f>
        <v>292800</v>
      </c>
      <c r="D12" s="194">
        <f t="shared" si="0"/>
        <v>304512</v>
      </c>
      <c r="E12" s="194">
        <f t="shared" si="0"/>
        <v>316692.48000000004</v>
      </c>
      <c r="F12" s="194">
        <f t="shared" si="0"/>
        <v>329360.17920000007</v>
      </c>
      <c r="H12" s="110">
        <f>316400-32000</f>
        <v>284400</v>
      </c>
      <c r="I12" s="111">
        <f t="shared" ref="I12:K18" si="1">H12*1.04</f>
        <v>295776</v>
      </c>
      <c r="J12" s="111">
        <f t="shared" si="1"/>
        <v>307607.04000000004</v>
      </c>
      <c r="K12" s="111">
        <f t="shared" si="1"/>
        <v>319911.32160000002</v>
      </c>
    </row>
    <row r="13" spans="1:11" x14ac:dyDescent="0.2">
      <c r="A13" s="193"/>
      <c r="B13" s="193" t="s">
        <v>1373</v>
      </c>
      <c r="C13" s="195">
        <f>288200-27000</f>
        <v>261200</v>
      </c>
      <c r="D13" s="194">
        <f t="shared" si="0"/>
        <v>271648</v>
      </c>
      <c r="E13" s="194">
        <f t="shared" si="0"/>
        <v>282513.91999999998</v>
      </c>
      <c r="F13" s="194">
        <f t="shared" si="0"/>
        <v>293814.4768</v>
      </c>
      <c r="H13" s="110">
        <f>278900-26800</f>
        <v>252100</v>
      </c>
      <c r="I13" s="111">
        <f t="shared" si="1"/>
        <v>262184</v>
      </c>
      <c r="J13" s="111">
        <f t="shared" si="1"/>
        <v>272671.35999999999</v>
      </c>
      <c r="K13" s="111">
        <f t="shared" si="1"/>
        <v>283578.2144</v>
      </c>
    </row>
    <row r="14" spans="1:11" x14ac:dyDescent="0.2">
      <c r="A14" s="193"/>
      <c r="B14" s="193" t="s">
        <v>1374</v>
      </c>
      <c r="C14" s="195">
        <f>242200-21400</f>
        <v>220800</v>
      </c>
      <c r="D14" s="194">
        <f t="shared" si="0"/>
        <v>229632</v>
      </c>
      <c r="E14" s="194">
        <f t="shared" si="0"/>
        <v>238817.28</v>
      </c>
      <c r="F14" s="194">
        <f t="shared" si="0"/>
        <v>248369.9712</v>
      </c>
      <c r="H14" s="110">
        <f>238100-21300</f>
        <v>216800</v>
      </c>
      <c r="I14" s="111">
        <f t="shared" si="1"/>
        <v>225472</v>
      </c>
      <c r="J14" s="111">
        <f t="shared" si="1"/>
        <v>234490.88</v>
      </c>
      <c r="K14" s="111">
        <f t="shared" si="1"/>
        <v>243870.51520000002</v>
      </c>
    </row>
    <row r="15" spans="1:11" x14ac:dyDescent="0.2">
      <c r="A15" s="193"/>
      <c r="B15" s="193" t="s">
        <v>1375</v>
      </c>
      <c r="C15" s="195">
        <f>202000-17500</f>
        <v>184500</v>
      </c>
      <c r="D15" s="194">
        <f t="shared" si="0"/>
        <v>191880</v>
      </c>
      <c r="E15" s="194">
        <f t="shared" si="0"/>
        <v>199555.20000000001</v>
      </c>
      <c r="F15" s="194">
        <f t="shared" si="0"/>
        <v>207537.40800000002</v>
      </c>
      <c r="H15" s="110">
        <f>196300-17000</f>
        <v>179300</v>
      </c>
      <c r="I15" s="111">
        <f t="shared" si="1"/>
        <v>186472</v>
      </c>
      <c r="J15" s="111">
        <f t="shared" si="1"/>
        <v>193930.88</v>
      </c>
      <c r="K15" s="111">
        <f t="shared" si="1"/>
        <v>201688.1152</v>
      </c>
    </row>
    <row r="16" spans="1:11" x14ac:dyDescent="0.2">
      <c r="A16" s="193"/>
      <c r="B16" s="196" t="s">
        <v>1376</v>
      </c>
      <c r="C16" s="195">
        <f>158600-13200</f>
        <v>145400</v>
      </c>
      <c r="D16" s="194">
        <f t="shared" si="0"/>
        <v>151216</v>
      </c>
      <c r="E16" s="194">
        <f t="shared" si="0"/>
        <v>157264.64000000001</v>
      </c>
      <c r="F16" s="194">
        <f t="shared" si="0"/>
        <v>163555.22560000003</v>
      </c>
      <c r="H16" s="110">
        <f>160500-13800</f>
        <v>146700</v>
      </c>
      <c r="I16" s="111">
        <f t="shared" si="1"/>
        <v>152568</v>
      </c>
      <c r="J16" s="111">
        <f t="shared" si="1"/>
        <v>158670.72</v>
      </c>
      <c r="K16" s="111">
        <f t="shared" si="1"/>
        <v>165017.54880000002</v>
      </c>
    </row>
    <row r="17" spans="1:11" x14ac:dyDescent="0.2">
      <c r="A17" s="193"/>
      <c r="B17" s="197"/>
      <c r="C17" s="198"/>
      <c r="D17" s="195"/>
      <c r="E17" s="195"/>
      <c r="F17" s="195"/>
      <c r="H17" s="110"/>
      <c r="I17" s="111"/>
      <c r="J17" s="111"/>
      <c r="K17" s="111"/>
    </row>
    <row r="18" spans="1:11" x14ac:dyDescent="0.2">
      <c r="A18" s="192" t="s">
        <v>1377</v>
      </c>
      <c r="B18" s="193" t="s">
        <v>1378</v>
      </c>
      <c r="C18" s="195">
        <f>177100-38900</f>
        <v>138200</v>
      </c>
      <c r="D18" s="194">
        <f>C18*1.04</f>
        <v>143728</v>
      </c>
      <c r="E18" s="194">
        <f>D18*1.04</f>
        <v>149477.12</v>
      </c>
      <c r="F18" s="194">
        <f>E18*1.04</f>
        <v>155456.20480000001</v>
      </c>
      <c r="H18" s="110">
        <f>177600-38400</f>
        <v>139200</v>
      </c>
      <c r="I18" s="111">
        <f t="shared" si="1"/>
        <v>144768</v>
      </c>
      <c r="J18" s="111">
        <f t="shared" ref="J18" si="2">I18*1.04</f>
        <v>150558.72</v>
      </c>
      <c r="K18" s="111">
        <f t="shared" ref="K18" si="3">J18*1.04</f>
        <v>156581.06880000001</v>
      </c>
    </row>
    <row r="19" spans="1:11" x14ac:dyDescent="0.2">
      <c r="A19" s="199"/>
      <c r="B19" s="200"/>
      <c r="C19" s="201"/>
      <c r="D19" s="202"/>
      <c r="E19" s="202"/>
      <c r="F19" s="202"/>
    </row>
    <row r="20" spans="1:11" x14ac:dyDescent="0.2">
      <c r="A20" s="199"/>
      <c r="B20" s="200"/>
      <c r="C20" s="201"/>
      <c r="D20" s="202"/>
      <c r="E20" s="202"/>
      <c r="F20" s="202"/>
    </row>
    <row r="21" spans="1:11" x14ac:dyDescent="0.2">
      <c r="A21" s="203"/>
      <c r="B21" s="204"/>
      <c r="C21" s="205"/>
      <c r="D21" s="205"/>
      <c r="E21" s="205"/>
    </row>
    <row r="22" spans="1:11" x14ac:dyDescent="0.2">
      <c r="A22" s="206" t="s">
        <v>1379</v>
      </c>
      <c r="B22" s="318" t="s">
        <v>1380</v>
      </c>
      <c r="C22" s="318"/>
      <c r="D22" s="318"/>
      <c r="E22" s="318"/>
    </row>
    <row r="23" spans="1:11" x14ac:dyDescent="0.2">
      <c r="A23" s="30"/>
    </row>
    <row r="24" spans="1:11" x14ac:dyDescent="0.2">
      <c r="A24" s="207" t="s">
        <v>1381</v>
      </c>
      <c r="B24" s="319" t="s">
        <v>1382</v>
      </c>
      <c r="C24" s="319"/>
      <c r="D24" s="319"/>
      <c r="E24" s="319"/>
      <c r="F24" s="319"/>
    </row>
    <row r="26" spans="1:11" x14ac:dyDescent="0.2">
      <c r="A26" s="208" t="s">
        <v>1383</v>
      </c>
      <c r="B26" s="208" t="s">
        <v>1384</v>
      </c>
      <c r="C26" s="208"/>
      <c r="D26" s="208"/>
      <c r="E26" s="208"/>
      <c r="F26" s="208"/>
      <c r="G26" s="208"/>
      <c r="H26" s="208"/>
    </row>
  </sheetData>
  <mergeCells count="4">
    <mergeCell ref="A6:F6"/>
    <mergeCell ref="A8:B8"/>
    <mergeCell ref="B22:E22"/>
    <mergeCell ref="B24:F24"/>
  </mergeCells>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CPW 2015</vt:lpstr>
      <vt:lpstr>CTL budget</vt:lpstr>
      <vt:lpstr>QTL budget</vt:lpstr>
      <vt:lpstr>Contributions Table</vt:lpstr>
      <vt:lpstr>Standard Salary Costs</vt:lpstr>
      <vt:lpstr>'CPW 2015'!Print_Area</vt:lpstr>
      <vt:lpstr>'CTL budget'!Print_Area</vt:lpstr>
      <vt:lpstr>'Contributions Table'!Print_Titles</vt:lpstr>
      <vt:lpstr>'CTL budget'!Print_Titles</vt:lpstr>
      <vt:lpstr>'QTL budget'!Print_Titles</vt:lpstr>
    </vt:vector>
  </TitlesOfParts>
  <Company>UNOG</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Kwitsinskaia</cp:lastModifiedBy>
  <cp:lastPrinted>2015-12-22T11:09:19Z</cp:lastPrinted>
  <dcterms:created xsi:type="dcterms:W3CDTF">2012-04-12T07:47:13Z</dcterms:created>
  <dcterms:modified xsi:type="dcterms:W3CDTF">2015-12-22T11:11:08Z</dcterms:modified>
</cp:coreProperties>
</file>